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CERRO AZUL\07 Proyectos de Mejoramiento\02 ET Renovación de Veredas\08 Conograma Valorizado de Obra\"/>
    </mc:Choice>
  </mc:AlternateContent>
  <bookViews>
    <workbookView xWindow="-72" yWindow="-60" windowWidth="14232" windowHeight="11640" tabRatio="706"/>
  </bookViews>
  <sheets>
    <sheet name="CALENDARIO AVANCE DE OBRA" sheetId="12" r:id="rId1"/>
    <sheet name="CALENDARIO ADQUSICIÓN" sheetId="13" state="hidden" r:id="rId2"/>
  </sheets>
  <definedNames>
    <definedName name="_xlnm.Print_Area" localSheetId="1">'CALENDARIO ADQUSICIÓN'!$A$1:$I$26</definedName>
    <definedName name="_xlnm.Print_Area" localSheetId="0">'CALENDARIO AVANCE DE OBRA'!$A$1:$I$84</definedName>
    <definedName name="_xlnm.Print_Titles" localSheetId="0">'CALENDARIO AVANCE DE OBRA'!$1:$8</definedName>
  </definedNames>
  <calcPr calcId="162913"/>
</workbook>
</file>

<file path=xl/calcChain.xml><?xml version="1.0" encoding="utf-8"?>
<calcChain xmlns="http://schemas.openxmlformats.org/spreadsheetml/2006/main">
  <c r="G82" i="12" l="1"/>
  <c r="I82" i="12"/>
  <c r="I81" i="12"/>
  <c r="G81" i="12"/>
  <c r="G78" i="12"/>
  <c r="G80" i="12" s="1"/>
  <c r="I78" i="12"/>
  <c r="I80" i="12" s="1"/>
  <c r="H83" i="12"/>
  <c r="H80" i="12"/>
  <c r="H79" i="12"/>
  <c r="H81" i="12" s="1"/>
  <c r="H78" i="12"/>
  <c r="G79" i="12" l="1"/>
  <c r="G83" i="12"/>
  <c r="I79" i="12"/>
  <c r="I83" i="12"/>
  <c r="H82" i="12"/>
  <c r="H84" i="12" s="1"/>
  <c r="J13" i="12"/>
  <c r="J15" i="12"/>
  <c r="J16" i="12"/>
  <c r="J19" i="12"/>
  <c r="J21" i="12"/>
  <c r="J26" i="12"/>
  <c r="J30" i="12"/>
  <c r="J32" i="12"/>
  <c r="J33" i="12"/>
  <c r="J35" i="12"/>
  <c r="J40" i="12"/>
  <c r="J44" i="12"/>
  <c r="J45" i="12"/>
  <c r="J47" i="12"/>
  <c r="J50" i="12"/>
  <c r="J54" i="12"/>
  <c r="J56" i="12"/>
  <c r="J57" i="12"/>
  <c r="J60" i="12"/>
  <c r="J63" i="12"/>
  <c r="J67" i="12"/>
  <c r="J69" i="12"/>
  <c r="J70" i="12"/>
  <c r="G84" i="12" l="1"/>
  <c r="I84" i="12"/>
  <c r="G18" i="12"/>
  <c r="I18" i="12" s="1"/>
  <c r="F11" i="12"/>
  <c r="F12" i="12"/>
  <c r="F14" i="12"/>
  <c r="F17" i="12"/>
  <c r="F18" i="12"/>
  <c r="F20" i="12"/>
  <c r="F22" i="12"/>
  <c r="F23" i="12"/>
  <c r="F24" i="12"/>
  <c r="F25" i="12"/>
  <c r="F27" i="12"/>
  <c r="F28" i="12"/>
  <c r="F29" i="12"/>
  <c r="F31" i="12"/>
  <c r="F34" i="12"/>
  <c r="F36" i="12"/>
  <c r="F37" i="12"/>
  <c r="F38" i="12"/>
  <c r="F39" i="12"/>
  <c r="F41" i="12"/>
  <c r="F42" i="12"/>
  <c r="F43" i="12"/>
  <c r="F46" i="12"/>
  <c r="F48" i="12"/>
  <c r="F49" i="12"/>
  <c r="F51" i="12"/>
  <c r="F52" i="12"/>
  <c r="F53" i="12"/>
  <c r="F55" i="12"/>
  <c r="F58" i="12"/>
  <c r="F59" i="12"/>
  <c r="F61" i="12"/>
  <c r="F62" i="12"/>
  <c r="F64" i="12"/>
  <c r="F65" i="12"/>
  <c r="F66" i="12"/>
  <c r="F68" i="12"/>
  <c r="F71" i="12"/>
  <c r="F72" i="12"/>
  <c r="F73" i="12"/>
  <c r="F74" i="12"/>
  <c r="F75" i="12"/>
  <c r="F76" i="12"/>
  <c r="F10" i="12"/>
  <c r="H68" i="12" l="1"/>
  <c r="I68" i="12" s="1"/>
  <c r="J68" i="12"/>
  <c r="H42" i="12"/>
  <c r="I42" i="12" s="1"/>
  <c r="J42" i="12" s="1"/>
  <c r="H53" i="12"/>
  <c r="I53" i="12" s="1"/>
  <c r="J53" i="12" s="1"/>
  <c r="H28" i="12"/>
  <c r="I28" i="12" s="1"/>
  <c r="J28" i="12"/>
  <c r="H76" i="12"/>
  <c r="I76" i="12" s="1"/>
  <c r="J76" i="12" s="1"/>
  <c r="H65" i="12"/>
  <c r="I65" i="12" s="1"/>
  <c r="J65" i="12"/>
  <c r="H52" i="12"/>
  <c r="I52" i="12" s="1"/>
  <c r="J52" i="12" s="1"/>
  <c r="G39" i="12"/>
  <c r="I39" i="12" s="1"/>
  <c r="J39" i="12"/>
  <c r="G14" i="12"/>
  <c r="H71" i="12"/>
  <c r="I71" i="12" s="1"/>
  <c r="J71" i="12"/>
  <c r="G58" i="12"/>
  <c r="I58" i="12" s="1"/>
  <c r="J58" i="12"/>
  <c r="H31" i="12"/>
  <c r="I31" i="12" s="1"/>
  <c r="J31" i="12" s="1"/>
  <c r="J18" i="12"/>
  <c r="H75" i="12"/>
  <c r="I75" i="12" s="1"/>
  <c r="J75" i="12"/>
  <c r="H51" i="12"/>
  <c r="I51" i="12" s="1"/>
  <c r="J51" i="12" s="1"/>
  <c r="G25" i="12"/>
  <c r="I25" i="12" s="1"/>
  <c r="J25" i="12" s="1"/>
  <c r="H74" i="12"/>
  <c r="I74" i="12" s="1"/>
  <c r="J74" i="12" s="1"/>
  <c r="H49" i="12"/>
  <c r="I49" i="12" s="1"/>
  <c r="J49" i="12"/>
  <c r="G37" i="12"/>
  <c r="I37" i="12" s="1"/>
  <c r="J37" i="12"/>
  <c r="G24" i="12"/>
  <c r="I24" i="12" s="1"/>
  <c r="J24" i="12" s="1"/>
  <c r="H73" i="12"/>
  <c r="I73" i="12" s="1"/>
  <c r="J73" i="12"/>
  <c r="H48" i="12"/>
  <c r="I48" i="12" s="1"/>
  <c r="J48" i="12" s="1"/>
  <c r="G36" i="12"/>
  <c r="I36" i="12" s="1"/>
  <c r="J36" i="12"/>
  <c r="G23" i="12"/>
  <c r="I23" i="12" s="1"/>
  <c r="J23" i="12" s="1"/>
  <c r="G10" i="12"/>
  <c r="H43" i="12"/>
  <c r="I43" i="12" s="1"/>
  <c r="J43" i="12" s="1"/>
  <c r="J20" i="12"/>
  <c r="H55" i="12"/>
  <c r="I55" i="12" s="1"/>
  <c r="J55" i="12" s="1"/>
  <c r="H29" i="12"/>
  <c r="I29" i="12" s="1"/>
  <c r="J29" i="12" s="1"/>
  <c r="G20" i="12"/>
  <c r="I20" i="12" s="1"/>
  <c r="H66" i="12"/>
  <c r="I66" i="12" s="1"/>
  <c r="J66" i="12" s="1"/>
  <c r="H64" i="12"/>
  <c r="I64" i="12" s="1"/>
  <c r="J64" i="12"/>
  <c r="G38" i="12"/>
  <c r="I38" i="12" s="1"/>
  <c r="J38" i="12" s="1"/>
  <c r="G12" i="12"/>
  <c r="G62" i="12"/>
  <c r="I62" i="12" s="1"/>
  <c r="J62" i="12" s="1"/>
  <c r="G61" i="12"/>
  <c r="I61" i="12" s="1"/>
  <c r="J61" i="12"/>
  <c r="H72" i="12"/>
  <c r="I72" i="12" s="1"/>
  <c r="J72" i="12" s="1"/>
  <c r="G59" i="12"/>
  <c r="I59" i="12" s="1"/>
  <c r="J59" i="12" s="1"/>
  <c r="G46" i="12"/>
  <c r="I46" i="12" s="1"/>
  <c r="J46" i="12" s="1"/>
  <c r="G34" i="12"/>
  <c r="I34" i="12" s="1"/>
  <c r="J34" i="12" s="1"/>
  <c r="G22" i="12"/>
  <c r="I22" i="12" s="1"/>
  <c r="J22" i="12" s="1"/>
  <c r="G17" i="12"/>
  <c r="I17" i="12" s="1"/>
  <c r="J17" i="12" s="1"/>
  <c r="H11" i="12"/>
  <c r="H12" i="12"/>
  <c r="I12" i="12" s="1"/>
  <c r="J12" i="12" s="1"/>
  <c r="G11" i="12"/>
  <c r="G27" i="12"/>
  <c r="G41" i="12"/>
  <c r="H14" i="12"/>
  <c r="I14" i="12" s="1"/>
  <c r="J14" i="12" s="1"/>
  <c r="I10" i="12" l="1"/>
  <c r="H41" i="12"/>
  <c r="I41" i="12" s="1"/>
  <c r="J41" i="12" s="1"/>
  <c r="H27" i="12"/>
  <c r="I27" i="12" s="1"/>
  <c r="J27" i="12" s="1"/>
  <c r="I11" i="12"/>
  <c r="J11" i="12" s="1"/>
  <c r="D86" i="12"/>
  <c r="D87" i="12" s="1"/>
  <c r="J10" i="12" l="1"/>
  <c r="D18" i="13" l="1"/>
  <c r="E15" i="13" l="1"/>
  <c r="I10" i="13"/>
  <c r="D12" i="13" s="1"/>
  <c r="D21" i="13" s="1"/>
  <c r="D22" i="13" s="1"/>
  <c r="E21" i="13" l="1"/>
  <c r="G15" i="13"/>
  <c r="D23" i="13" l="1"/>
  <c r="F16" i="13"/>
  <c r="F21" i="13" s="1"/>
  <c r="B6" i="13"/>
  <c r="A6" i="13"/>
  <c r="B5" i="13"/>
  <c r="A5" i="13"/>
  <c r="B3" i="13"/>
  <c r="F23" i="13" l="1"/>
  <c r="G16" i="13"/>
  <c r="F22" i="13"/>
  <c r="E22" i="13"/>
  <c r="E23" i="13"/>
  <c r="D24" i="13"/>
  <c r="D25" i="13" s="1"/>
  <c r="E18" i="13"/>
  <c r="F18" i="13"/>
  <c r="I12" i="13"/>
  <c r="F24" i="13" l="1"/>
  <c r="F25" i="13" s="1"/>
  <c r="G18" i="13"/>
  <c r="D26" i="13" l="1"/>
  <c r="D19" i="13" l="1"/>
  <c r="F26" i="13" l="1"/>
  <c r="E24" i="13" l="1"/>
  <c r="E25" i="13" s="1"/>
  <c r="E26" i="13" s="1"/>
  <c r="E19" i="13" l="1"/>
  <c r="G12" i="13"/>
  <c r="G21" i="13" s="1"/>
  <c r="G22" i="13" l="1"/>
  <c r="G23" i="13"/>
  <c r="F19" i="13"/>
  <c r="G19" i="13"/>
  <c r="I14" i="13"/>
  <c r="G24" i="13" l="1"/>
  <c r="G25" i="13" s="1"/>
  <c r="G26" i="13" s="1"/>
</calcChain>
</file>

<file path=xl/sharedStrings.xml><?xml version="1.0" encoding="utf-8"?>
<sst xmlns="http://schemas.openxmlformats.org/spreadsheetml/2006/main" count="232" uniqueCount="180">
  <si>
    <t>PARTIDA</t>
  </si>
  <si>
    <t>UND.</t>
  </si>
  <si>
    <t>MET TOTAL</t>
  </si>
  <si>
    <t>m2</t>
  </si>
  <si>
    <t>und</t>
  </si>
  <si>
    <t>01</t>
  </si>
  <si>
    <t>01.01</t>
  </si>
  <si>
    <t>TOTAL S/.</t>
  </si>
  <si>
    <t>m3</t>
  </si>
  <si>
    <t>COSTO DIRECTO</t>
  </si>
  <si>
    <t>m</t>
  </si>
  <si>
    <t>COSTO</t>
  </si>
  <si>
    <t>PARCIAL</t>
  </si>
  <si>
    <t>PRESUPUESTO TOTAL S/.</t>
  </si>
  <si>
    <t>01.02</t>
  </si>
  <si>
    <t>01.03</t>
  </si>
  <si>
    <t xml:space="preserve">PROYECTO:    </t>
  </si>
  <si>
    <t>UNIT.</t>
  </si>
  <si>
    <t>ÍTEM</t>
  </si>
  <si>
    <t>DESCRIPCIÓN</t>
  </si>
  <si>
    <t>%</t>
  </si>
  <si>
    <t>Adelantos</t>
  </si>
  <si>
    <t>TOTAL</t>
  </si>
  <si>
    <t>VALORIZACION Nº 01</t>
  </si>
  <si>
    <t>VALORIZACION Nº 02</t>
  </si>
  <si>
    <t>ADELANTOS</t>
  </si>
  <si>
    <t>Adelanto para Materiales (relacion de insumos)</t>
  </si>
  <si>
    <t>VALORIZACIÓN</t>
  </si>
  <si>
    <t>1ra. Valorización – Amortización Adelantos</t>
  </si>
  <si>
    <t>2da Valorización – Amortización de Adelantos</t>
  </si>
  <si>
    <t>PORCENTAJE</t>
  </si>
  <si>
    <t>PORCENTAJE ACUMULADO</t>
  </si>
  <si>
    <t>COSTO TOTAL</t>
  </si>
  <si>
    <t>GASTOS GENERALES</t>
  </si>
  <si>
    <t>UTILIDADES</t>
  </si>
  <si>
    <t>SUB-TOTAL</t>
  </si>
  <si>
    <t>I.G.V</t>
  </si>
  <si>
    <t>TOTAL DEL PRESUPUESTO</t>
  </si>
  <si>
    <t>ITEM</t>
  </si>
  <si>
    <t xml:space="preserve">UBICACIÓN      </t>
  </si>
  <si>
    <t xml:space="preserve">FECHA              </t>
  </si>
  <si>
    <t>2 MES</t>
  </si>
  <si>
    <t>1 MES</t>
  </si>
  <si>
    <t xml:space="preserve"> </t>
  </si>
  <si>
    <t>CALENDARIO DE ADQUSICIÓN DE MATERIALES</t>
  </si>
  <si>
    <t>CRONOGRAMA VALORIZADO DE OBRA</t>
  </si>
  <si>
    <t>OBRAS PROVISIONALES</t>
  </si>
  <si>
    <t>PINTURA</t>
  </si>
  <si>
    <t>VARIOS</t>
  </si>
  <si>
    <t>SEGURIDAD EN OBRA</t>
  </si>
  <si>
    <t>15 DIAS</t>
  </si>
  <si>
    <t xml:space="preserve">   CARTEL DE OBRA DE 3.60 X 2.40 m</t>
  </si>
  <si>
    <t xml:space="preserve">   MOVILIZACION Y DESMOVILIZACION DE EQUIPOS Y MAQUINARIAS</t>
  </si>
  <si>
    <t>glb</t>
  </si>
  <si>
    <t xml:space="preserve">   MANTENIMIENTO DE TRANSITO</t>
  </si>
  <si>
    <t>día</t>
  </si>
  <si>
    <t>02</t>
  </si>
  <si>
    <t>02.01</t>
  </si>
  <si>
    <t xml:space="preserve">   EQUIPOS DE PROTECCION INDIVIDUAL</t>
  </si>
  <si>
    <t>03</t>
  </si>
  <si>
    <t>VEREDAS DE CONCRETO</t>
  </si>
  <si>
    <t>03.01</t>
  </si>
  <si>
    <t xml:space="preserve">   DEMOLICIONES</t>
  </si>
  <si>
    <t>03.01.01</t>
  </si>
  <si>
    <t xml:space="preserve">      DEMOLICION DE VEREDAS DE CONCRETO E=0.10 m</t>
  </si>
  <si>
    <t>03.01.02</t>
  </si>
  <si>
    <t>03.02</t>
  </si>
  <si>
    <t xml:space="preserve">   OBRAS PRELIMINARES</t>
  </si>
  <si>
    <t>03.02.01</t>
  </si>
  <si>
    <t xml:space="preserve">      TRAZO, NIVELACION Y REPLANTEO EN VEREDA</t>
  </si>
  <si>
    <t>03.03</t>
  </si>
  <si>
    <t xml:space="preserve">   MOVIMIENTO DE TIERRAS</t>
  </si>
  <si>
    <t>03.03.01</t>
  </si>
  <si>
    <t xml:space="preserve">      EXCAVACIÓN MANUAL DE MATERIAL SUELTO A NIVEL DE SUBRASANTE EN VEREDAS</t>
  </si>
  <si>
    <t>03.03.02</t>
  </si>
  <si>
    <t xml:space="preserve">      PERFILADO Y COMPACTADO DE SUB-RASANTE EN VEREDAS</t>
  </si>
  <si>
    <t>03.03.03</t>
  </si>
  <si>
    <t xml:space="preserve">      CONFORMACION DE LA BASE GRANULAR PARA VEREDAS E=0.10M</t>
  </si>
  <si>
    <t>03.03.04</t>
  </si>
  <si>
    <t xml:space="preserve">      ELIMINACION DE MATERIAL EXCEDENTE PROVENIENTE DE LA EXCAVACION (D. PROM=5 KM)</t>
  </si>
  <si>
    <t>03.04</t>
  </si>
  <si>
    <t xml:space="preserve">   CONCRETO EN VEREDAS</t>
  </si>
  <si>
    <t>03.04.01</t>
  </si>
  <si>
    <t xml:space="preserve">      ENCOFRADO Y DESENCOFRADO NORMAL DE VEREDAS</t>
  </si>
  <si>
    <t>03.04.02</t>
  </si>
  <si>
    <t xml:space="preserve">      VEREDA DE CONCRETO F'c=175kg/Cm2 E=4" SEMIPULIDO Y BRUÑADO</t>
  </si>
  <si>
    <t>03.04.03</t>
  </si>
  <si>
    <t xml:space="preserve">      CURADO DE CONCRETO EN VEREDAS</t>
  </si>
  <si>
    <t>03.05</t>
  </si>
  <si>
    <t xml:space="preserve">   JUNTAS</t>
  </si>
  <si>
    <t>03.05.01</t>
  </si>
  <si>
    <t xml:space="preserve">      JUNTAS ASFALTICAS EN VEREDAS</t>
  </si>
  <si>
    <t>04</t>
  </si>
  <si>
    <t>MARTILLOS Y RAMPAS DE CONCRETO</t>
  </si>
  <si>
    <t>04.01</t>
  </si>
  <si>
    <t>04.01.01</t>
  </si>
  <si>
    <t xml:space="preserve">      TRAZO, NIVELACION Y REPLANTEO EN MARTILLOS Y RAMPAS</t>
  </si>
  <si>
    <t>04.02</t>
  </si>
  <si>
    <t>04.02.01</t>
  </si>
  <si>
    <t xml:space="preserve">      EXCAVACION MANUAL DE MATERIAL SUELTO EN MARTILLOS Y RAMPAS</t>
  </si>
  <si>
    <t>04.02.02</t>
  </si>
  <si>
    <t xml:space="preserve">      PERFILADO Y COMPACTADO DE SUB-RASANTE EN MARTILLOS Y RAMPAS</t>
  </si>
  <si>
    <t>04.02.03</t>
  </si>
  <si>
    <t xml:space="preserve">      CONFORMACION DE LA BASE GRANULAR PARA MARTILLOS E=0.10 M</t>
  </si>
  <si>
    <t>04.02.04</t>
  </si>
  <si>
    <t>04.03</t>
  </si>
  <si>
    <t xml:space="preserve">   CONCRETO EN MARTILLO Y RAMPAS</t>
  </si>
  <si>
    <t>04.03.01</t>
  </si>
  <si>
    <t xml:space="preserve">      ENCOFRADO Y DESENCOFRADO NORMAL DE MARTILLOS Y RAMPAS</t>
  </si>
  <si>
    <t>04.03.02</t>
  </si>
  <si>
    <t xml:space="preserve">      MARTILLOS Y RAMPAS DE CONCRETO F'c=175 kg/cm2  E=4" SEMIPULIDO Y BRUÑADO</t>
  </si>
  <si>
    <t>04.03.03</t>
  </si>
  <si>
    <t xml:space="preserve">      CURADO DE CONCRETO EN MARTILLOS Y RAMPAS</t>
  </si>
  <si>
    <t>05</t>
  </si>
  <si>
    <t>SARDINELES</t>
  </si>
  <si>
    <t>05.01</t>
  </si>
  <si>
    <t>05.01.01</t>
  </si>
  <si>
    <t xml:space="preserve">      TRAZO, NIVELACION Y REPLANTEO EN SARDINELES</t>
  </si>
  <si>
    <t>05.02</t>
  </si>
  <si>
    <t>05.02.01</t>
  </si>
  <si>
    <t xml:space="preserve">      EXCAVACION MANUAL DE MATERIAL SUELTO EN SARDINELES</t>
  </si>
  <si>
    <t>05.02.02</t>
  </si>
  <si>
    <t>05.03</t>
  </si>
  <si>
    <t xml:space="preserve">   CONCRETO EN SARDINELES PERALTADOS</t>
  </si>
  <si>
    <t>05.03.01</t>
  </si>
  <si>
    <t xml:space="preserve">      ENCOFRADO Y DESENCOFRADO NORMAL DE SARDINELES PERALTADOS</t>
  </si>
  <si>
    <t>05.03.02</t>
  </si>
  <si>
    <t xml:space="preserve">      CONCRETO f'c=175 kg/cm2 EN SARDINELES PERALTADOS DE 0.15x0.40</t>
  </si>
  <si>
    <t>05.03.03</t>
  </si>
  <si>
    <t xml:space="preserve">      ACERO F'y=4200 KG/CM2 PARA SARDINELES PERALTADOS</t>
  </si>
  <si>
    <t>kg</t>
  </si>
  <si>
    <t>05.04</t>
  </si>
  <si>
    <t>05.04.01</t>
  </si>
  <si>
    <t xml:space="preserve">      JUNTAS ASFALTICAS EN SARDINELES</t>
  </si>
  <si>
    <t>06</t>
  </si>
  <si>
    <t>PISO ADOQUINADO</t>
  </si>
  <si>
    <t>06.01</t>
  </si>
  <si>
    <t>06.01.01</t>
  </si>
  <si>
    <t xml:space="preserve">      LIMPIEZA DEL TERRENO MANUAL</t>
  </si>
  <si>
    <t>06.01.02</t>
  </si>
  <si>
    <t xml:space="preserve">      TRAZO, NIVELACION Y REPLANTEO EN PISO ADOQUINADO</t>
  </si>
  <si>
    <t>06.02</t>
  </si>
  <si>
    <t>06.02.01</t>
  </si>
  <si>
    <t xml:space="preserve">      EXCAVACION MANUAL DE MATERIAL SUELTO EN PISO DE ADOQUIN</t>
  </si>
  <si>
    <t>06.02.02</t>
  </si>
  <si>
    <t>06.03</t>
  </si>
  <si>
    <t xml:space="preserve">   ADOQUIN DE CONCRETO</t>
  </si>
  <si>
    <t>06.03.01</t>
  </si>
  <si>
    <t xml:space="preserve">      CONFORMACION DE BASE GRANULAR PARA ADOQUIN  E=0.15M</t>
  </si>
  <si>
    <t>06.03.02</t>
  </si>
  <si>
    <t xml:space="preserve">      REVESTIMIENTO DE PISO CON ADOQUINES DE CONCRETO 0.10x0.20x0.04 COLOR ROJO</t>
  </si>
  <si>
    <t>06.03.03</t>
  </si>
  <si>
    <t xml:space="preserve">      SELLADO DE JUNTAS DE ADOQUIN CON ARENA</t>
  </si>
  <si>
    <t>07</t>
  </si>
  <si>
    <t>07.01</t>
  </si>
  <si>
    <t xml:space="preserve">   PINTURA PARA BORDES DE VEREDAS, RAMPAS Y SARDINELES</t>
  </si>
  <si>
    <t>08</t>
  </si>
  <si>
    <t>08.01</t>
  </si>
  <si>
    <t xml:space="preserve">   DISEÑO DE LETRAS</t>
  </si>
  <si>
    <t>08.01.01</t>
  </si>
  <si>
    <t xml:space="preserve">      CONCRETO CICLOPEO PARA CIMENTACIÓN 1:10 + 30% P.G. EN BASE DE LETRAS</t>
  </si>
  <si>
    <t>08.01.02</t>
  </si>
  <si>
    <t xml:space="preserve">      ENCOFRADO Y DESENCOFRADO NORMAL EN LETRAS</t>
  </si>
  <si>
    <t>08.01.03</t>
  </si>
  <si>
    <t xml:space="preserve">      CONCRETO f'c=175 kg/cm2 EN LETRAS</t>
  </si>
  <si>
    <t>08.01.04</t>
  </si>
  <si>
    <t xml:space="preserve">      ACERO F'y=4200 KG/CM2 PARA LETRAS</t>
  </si>
  <si>
    <t>08.01.05</t>
  </si>
  <si>
    <t xml:space="preserve">      TARRAJEO DE LETRAS INCLUYE ARISTAS</t>
  </si>
  <si>
    <t>08.01.06</t>
  </si>
  <si>
    <t xml:space="preserve">      PINTURA ESMALTE EN SUPERFICIE DE LETRAS</t>
  </si>
  <si>
    <t>: CERRO AZUL - CAÑETE - LIMA</t>
  </si>
  <si>
    <t>: OCTUBRE 2019</t>
  </si>
  <si>
    <t xml:space="preserve">      ELIMINACION DE MATERIAL EXCEDENTE PROVENIENTE DE LA DEMOLICION (D. PROM=5KM)
</t>
  </si>
  <si>
    <t>"RENOVACION DE VEREDA; EN EL(LA) EN AVENIDA JOSE OLAYA DISTRITO DE CERRO AZUL, PROVINCIA CAÑETE, DEPARTAMENTO LIMA”</t>
  </si>
  <si>
    <t>GASTOS GENERALES 10% CD</t>
  </si>
  <si>
    <t>UTILIDAD 5% CD</t>
  </si>
  <si>
    <t>SUB TOTAL</t>
  </si>
  <si>
    <t>IGV 18%</t>
  </si>
  <si>
    <t>SUPERVISIÓN 5%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</si>
</sst>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0.00000"/>
    <numFmt numFmtId="166" formatCode="_ &quot;S.&quot;\ * #,##0.00_ ;_ &quot;S.&quot;\ * \-#,##0.00_ ;_ &quot;S.&quot;\ * &quot;-&quot;??_ ;_ @_ "/>
    <numFmt numFmtId="167" formatCode="0.0%"/>
  </numFmts>
  <fonts count="28" x14ac:knownFonts="1">
    <font>
      <sz val="10"/>
      <color indexed="8"/>
      <name val="MS Sans Serif"/>
    </font>
    <font>
      <sz val="6.85"/>
      <color indexed="8"/>
      <name val="Arial Narrow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u/>
      <sz val="14"/>
      <name val="Arial Narrow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Arial Narrow"/>
      <family val="2"/>
    </font>
    <font>
      <sz val="10"/>
      <color indexed="8"/>
      <name val="MS Sans Serif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sz val="10"/>
      <color theme="0"/>
      <name val="MS Sans Serif"/>
    </font>
    <font>
      <sz val="8"/>
      <color theme="0"/>
      <name val="Arial Narrow"/>
      <family val="2"/>
    </font>
    <font>
      <sz val="10"/>
      <color indexed="8"/>
      <name val="Arial"/>
      <family val="2"/>
    </font>
    <font>
      <sz val="8"/>
      <color rgb="FFFF0000"/>
      <name val="Arial Narrow"/>
      <family val="2"/>
    </font>
    <font>
      <b/>
      <sz val="10"/>
      <color indexed="8"/>
      <name val="Arial Narrow"/>
      <family val="2"/>
    </font>
    <font>
      <b/>
      <i/>
      <u/>
      <sz val="14"/>
      <name val="Calibri Light"/>
      <family val="2"/>
    </font>
    <font>
      <b/>
      <i/>
      <sz val="9"/>
      <name val="Calibri Light"/>
      <family val="2"/>
    </font>
    <font>
      <i/>
      <sz val="9"/>
      <name val="Calibri Light"/>
      <family val="2"/>
    </font>
    <font>
      <i/>
      <sz val="10"/>
      <name val="Calibri Light"/>
      <family val="2"/>
    </font>
    <font>
      <i/>
      <sz val="10"/>
      <color indexed="8"/>
      <name val="Calibri Light"/>
      <family val="2"/>
    </font>
    <font>
      <b/>
      <i/>
      <sz val="9"/>
      <color indexed="8"/>
      <name val="Calibri Light"/>
      <family val="2"/>
    </font>
    <font>
      <i/>
      <sz val="9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>
      <alignment vertical="top"/>
    </xf>
    <xf numFmtId="166" fontId="18" fillId="0" borderId="0" applyFont="0" applyFill="0" applyBorder="0" applyAlignment="0" applyProtection="0">
      <alignment vertical="top"/>
    </xf>
  </cellStyleXfs>
  <cellXfs count="21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4" fontId="4" fillId="0" borderId="0" xfId="0" applyNumberFormat="1" applyFont="1"/>
    <xf numFmtId="164" fontId="5" fillId="0" borderId="0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10" fillId="0" borderId="0" xfId="0" applyFont="1"/>
    <xf numFmtId="164" fontId="12" fillId="0" borderId="0" xfId="1" applyNumberFormat="1" applyFont="1" applyFill="1" applyBorder="1" applyAlignment="1">
      <alignment horizontal="left" vertical="center"/>
    </xf>
    <xf numFmtId="164" fontId="12" fillId="0" borderId="0" xfId="1" applyNumberFormat="1" applyFont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2" fontId="12" fillId="0" borderId="0" xfId="0" applyNumberFormat="1" applyFont="1"/>
    <xf numFmtId="0" fontId="4" fillId="0" borderId="0" xfId="0" applyFont="1" applyAlignment="1">
      <alignment vertical="center"/>
    </xf>
    <xf numFmtId="49" fontId="12" fillId="0" borderId="0" xfId="1" applyNumberFormat="1" applyFont="1" applyFill="1" applyBorder="1" applyAlignment="1">
      <alignment horizontal="left" vertical="center"/>
    </xf>
    <xf numFmtId="0" fontId="9" fillId="0" borderId="11" xfId="0" applyFont="1" applyBorder="1"/>
    <xf numFmtId="0" fontId="9" fillId="0" borderId="13" xfId="0" applyFont="1" applyBorder="1"/>
    <xf numFmtId="2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right"/>
    </xf>
    <xf numFmtId="4" fontId="9" fillId="0" borderId="13" xfId="0" applyNumberFormat="1" applyFont="1" applyBorder="1"/>
    <xf numFmtId="4" fontId="9" fillId="0" borderId="12" xfId="0" applyNumberFormat="1" applyFont="1" applyBorder="1"/>
    <xf numFmtId="164" fontId="7" fillId="0" borderId="0" xfId="1" applyNumberFormat="1" applyFont="1" applyFill="1" applyBorder="1" applyAlignment="1">
      <alignment horizontal="left" vertical="center"/>
    </xf>
    <xf numFmtId="164" fontId="12" fillId="0" borderId="19" xfId="1" applyNumberFormat="1" applyFont="1" applyBorder="1" applyAlignment="1">
      <alignment vertical="center"/>
    </xf>
    <xf numFmtId="164" fontId="12" fillId="0" borderId="19" xfId="1" applyNumberFormat="1" applyFont="1" applyFill="1" applyBorder="1" applyAlignment="1">
      <alignment horizontal="center" vertical="center"/>
    </xf>
    <xf numFmtId="2" fontId="12" fillId="0" borderId="19" xfId="0" applyNumberFormat="1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4" fontId="17" fillId="0" borderId="0" xfId="0" applyNumberFormat="1" applyFont="1"/>
    <xf numFmtId="10" fontId="17" fillId="0" borderId="0" xfId="0" applyNumberFormat="1" applyFont="1"/>
    <xf numFmtId="4" fontId="8" fillId="0" borderId="28" xfId="0" applyNumberFormat="1" applyFont="1" applyBorder="1"/>
    <xf numFmtId="0" fontId="6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22" xfId="0" applyFont="1" applyBorder="1"/>
    <xf numFmtId="4" fontId="9" fillId="0" borderId="16" xfId="0" applyNumberFormat="1" applyFont="1" applyBorder="1"/>
    <xf numFmtId="0" fontId="9" fillId="0" borderId="3" xfId="0" applyFont="1" applyBorder="1"/>
    <xf numFmtId="2" fontId="9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right"/>
    </xf>
    <xf numFmtId="4" fontId="9" fillId="0" borderId="29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right"/>
    </xf>
    <xf numFmtId="10" fontId="9" fillId="0" borderId="3" xfId="0" applyNumberFormat="1" applyFont="1" applyBorder="1" applyAlignment="1">
      <alignment horizontal="right"/>
    </xf>
    <xf numFmtId="0" fontId="9" fillId="0" borderId="30" xfId="0" applyFont="1" applyBorder="1"/>
    <xf numFmtId="4" fontId="9" fillId="0" borderId="3" xfId="0" applyNumberFormat="1" applyFont="1" applyBorder="1"/>
    <xf numFmtId="4" fontId="9" fillId="0" borderId="31" xfId="0" applyNumberFormat="1" applyFont="1" applyBorder="1"/>
    <xf numFmtId="4" fontId="9" fillId="0" borderId="4" xfId="0" applyNumberFormat="1" applyFont="1" applyBorder="1"/>
    <xf numFmtId="4" fontId="8" fillId="0" borderId="9" xfId="0" applyNumberFormat="1" applyFont="1" applyBorder="1"/>
    <xf numFmtId="4" fontId="8" fillId="0" borderId="18" xfId="0" applyNumberFormat="1" applyFont="1" applyBorder="1" applyAlignment="1">
      <alignment horizontal="left"/>
    </xf>
    <xf numFmtId="4" fontId="9" fillId="0" borderId="18" xfId="0" applyNumberFormat="1" applyFont="1" applyBorder="1" applyAlignment="1">
      <alignment horizontal="left"/>
    </xf>
    <xf numFmtId="4" fontId="8" fillId="0" borderId="32" xfId="0" applyNumberFormat="1" applyFont="1" applyBorder="1" applyAlignment="1">
      <alignment horizontal="left"/>
    </xf>
    <xf numFmtId="4" fontId="9" fillId="0" borderId="33" xfId="0" applyNumberFormat="1" applyFont="1" applyBorder="1" applyAlignment="1">
      <alignment horizontal="left"/>
    </xf>
    <xf numFmtId="0" fontId="9" fillId="0" borderId="34" xfId="0" applyFont="1" applyBorder="1"/>
    <xf numFmtId="0" fontId="9" fillId="0" borderId="33" xfId="0" applyFont="1" applyBorder="1"/>
    <xf numFmtId="0" fontId="9" fillId="0" borderId="18" xfId="0" applyFont="1" applyBorder="1"/>
    <xf numFmtId="0" fontId="9" fillId="0" borderId="35" xfId="0" applyFont="1" applyBorder="1"/>
    <xf numFmtId="0" fontId="9" fillId="0" borderId="36" xfId="0" applyFont="1" applyBorder="1"/>
    <xf numFmtId="0" fontId="9" fillId="0" borderId="38" xfId="0" applyFont="1" applyBorder="1"/>
    <xf numFmtId="0" fontId="8" fillId="0" borderId="3" xfId="0" applyFont="1" applyBorder="1"/>
    <xf numFmtId="49" fontId="9" fillId="0" borderId="3" xfId="0" applyNumberFormat="1" applyFont="1" applyBorder="1"/>
    <xf numFmtId="0" fontId="8" fillId="0" borderId="10" xfId="0" applyFont="1" applyBorder="1"/>
    <xf numFmtId="0" fontId="9" fillId="0" borderId="29" xfId="0" applyFont="1" applyBorder="1"/>
    <xf numFmtId="0" fontId="9" fillId="0" borderId="31" xfId="0" applyFont="1" applyBorder="1"/>
    <xf numFmtId="0" fontId="9" fillId="0" borderId="4" xfId="0" applyFont="1" applyBorder="1"/>
    <xf numFmtId="2" fontId="9" fillId="0" borderId="36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right"/>
    </xf>
    <xf numFmtId="4" fontId="9" fillId="0" borderId="37" xfId="0" applyNumberFormat="1" applyFont="1" applyBorder="1" applyAlignment="1">
      <alignment horizontal="right"/>
    </xf>
    <xf numFmtId="2" fontId="9" fillId="0" borderId="37" xfId="0" applyNumberFormat="1" applyFont="1" applyBorder="1" applyAlignment="1">
      <alignment horizontal="right"/>
    </xf>
    <xf numFmtId="10" fontId="9" fillId="0" borderId="36" xfId="0" applyNumberFormat="1" applyFont="1" applyBorder="1" applyAlignment="1">
      <alignment horizontal="right"/>
    </xf>
    <xf numFmtId="4" fontId="9" fillId="0" borderId="36" xfId="0" applyNumberFormat="1" applyFont="1" applyBorder="1"/>
    <xf numFmtId="4" fontId="9" fillId="0" borderId="39" xfId="0" applyNumberFormat="1" applyFont="1" applyBorder="1"/>
    <xf numFmtId="4" fontId="9" fillId="0" borderId="40" xfId="0" applyNumberFormat="1" applyFont="1" applyBorder="1"/>
    <xf numFmtId="4" fontId="8" fillId="0" borderId="41" xfId="0" applyNumberFormat="1" applyFont="1" applyBorder="1"/>
    <xf numFmtId="0" fontId="9" fillId="0" borderId="43" xfId="0" applyFont="1" applyBorder="1"/>
    <xf numFmtId="2" fontId="9" fillId="0" borderId="43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right"/>
    </xf>
    <xf numFmtId="4" fontId="9" fillId="0" borderId="44" xfId="0" applyNumberFormat="1" applyFont="1" applyBorder="1" applyAlignment="1">
      <alignment horizontal="right"/>
    </xf>
    <xf numFmtId="2" fontId="9" fillId="0" borderId="44" xfId="0" applyNumberFormat="1" applyFont="1" applyBorder="1" applyAlignment="1">
      <alignment horizontal="right"/>
    </xf>
    <xf numFmtId="10" fontId="9" fillId="0" borderId="43" xfId="0" applyNumberFormat="1" applyFont="1" applyBorder="1" applyAlignment="1">
      <alignment horizontal="right"/>
    </xf>
    <xf numFmtId="0" fontId="9" fillId="0" borderId="45" xfId="0" applyFont="1" applyBorder="1"/>
    <xf numFmtId="4" fontId="9" fillId="0" borderId="44" xfId="0" applyNumberFormat="1" applyFont="1" applyBorder="1"/>
    <xf numFmtId="4" fontId="9" fillId="0" borderId="43" xfId="0" applyNumberFormat="1" applyFont="1" applyBorder="1"/>
    <xf numFmtId="4" fontId="9" fillId="0" borderId="46" xfId="0" applyNumberFormat="1" applyFont="1" applyBorder="1"/>
    <xf numFmtId="4" fontId="9" fillId="0" borderId="26" xfId="0" applyNumberFormat="1" applyFont="1" applyBorder="1"/>
    <xf numFmtId="4" fontId="8" fillId="0" borderId="7" xfId="0" applyNumberFormat="1" applyFont="1" applyBorder="1"/>
    <xf numFmtId="0" fontId="9" fillId="0" borderId="3" xfId="0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9" fontId="9" fillId="0" borderId="3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0" fontId="9" fillId="0" borderId="31" xfId="0" applyNumberFormat="1" applyFont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49" fontId="7" fillId="0" borderId="0" xfId="1" applyNumberFormat="1" applyFont="1" applyFill="1" applyBorder="1" applyAlignment="1">
      <alignment horizontal="left" vertical="center"/>
    </xf>
    <xf numFmtId="49" fontId="7" fillId="0" borderId="19" xfId="1" applyNumberFormat="1" applyFont="1" applyFill="1" applyBorder="1" applyAlignment="1">
      <alignment horizontal="left" vertical="center"/>
    </xf>
    <xf numFmtId="14" fontId="8" fillId="0" borderId="23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42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2" fontId="17" fillId="0" borderId="0" xfId="0" applyNumberFormat="1" applyFont="1"/>
    <xf numFmtId="4" fontId="19" fillId="3" borderId="0" xfId="0" applyNumberFormat="1" applyFont="1" applyFill="1"/>
    <xf numFmtId="165" fontId="6" fillId="0" borderId="0" xfId="0" applyNumberFormat="1" applyFont="1" applyAlignment="1">
      <alignment vertical="center"/>
    </xf>
    <xf numFmtId="167" fontId="9" fillId="0" borderId="3" xfId="2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164" fontId="22" fillId="0" borderId="0" xfId="1" applyNumberFormat="1" applyFont="1" applyFill="1" applyBorder="1" applyAlignment="1">
      <alignment horizontal="left" vertical="center"/>
    </xf>
    <xf numFmtId="164" fontId="23" fillId="0" borderId="0" xfId="1" applyNumberFormat="1" applyFont="1" applyFill="1" applyBorder="1" applyAlignment="1">
      <alignment horizontal="left" vertical="center"/>
    </xf>
    <xf numFmtId="164" fontId="22" fillId="0" borderId="0" xfId="1" applyNumberFormat="1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right"/>
    </xf>
    <xf numFmtId="2" fontId="24" fillId="0" borderId="0" xfId="0" applyNumberFormat="1" applyFont="1"/>
    <xf numFmtId="0" fontId="25" fillId="0" borderId="0" xfId="0" applyFont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4" fontId="23" fillId="0" borderId="0" xfId="1" applyNumberFormat="1" applyFont="1" applyBorder="1" applyAlignment="1">
      <alignment horizontal="center" vertical="center"/>
    </xf>
    <xf numFmtId="164" fontId="23" fillId="0" borderId="0" xfId="1" applyNumberFormat="1" applyFont="1" applyFill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right"/>
    </xf>
    <xf numFmtId="2" fontId="24" fillId="0" borderId="0" xfId="0" applyNumberFormat="1" applyFont="1" applyBorder="1"/>
    <xf numFmtId="0" fontId="25" fillId="0" borderId="0" xfId="0" applyFont="1" applyBorder="1" applyAlignment="1">
      <alignment horizontal="right" vertical="center"/>
    </xf>
    <xf numFmtId="49" fontId="26" fillId="0" borderId="19" xfId="0" applyNumberFormat="1" applyFont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164" fontId="23" fillId="0" borderId="19" xfId="1" applyNumberFormat="1" applyFont="1" applyBorder="1" applyAlignment="1">
      <alignment horizontal="center" vertical="center"/>
    </xf>
    <xf numFmtId="164" fontId="23" fillId="0" borderId="19" xfId="1" applyNumberFormat="1" applyFont="1" applyFill="1" applyBorder="1" applyAlignment="1">
      <alignment horizontal="center" vertical="center"/>
    </xf>
    <xf numFmtId="2" fontId="24" fillId="0" borderId="19" xfId="0" applyNumberFormat="1" applyFont="1" applyBorder="1" applyAlignment="1">
      <alignment horizontal="center"/>
    </xf>
    <xf numFmtId="2" fontId="24" fillId="0" borderId="19" xfId="0" applyNumberFormat="1" applyFont="1" applyBorder="1" applyAlignment="1">
      <alignment horizontal="right"/>
    </xf>
    <xf numFmtId="2" fontId="24" fillId="0" borderId="19" xfId="0" applyNumberFormat="1" applyFont="1" applyBorder="1"/>
    <xf numFmtId="0" fontId="25" fillId="0" borderId="19" xfId="0" applyFont="1" applyBorder="1" applyAlignment="1">
      <alignment horizontal="right" vertical="center"/>
    </xf>
    <xf numFmtId="49" fontId="23" fillId="0" borderId="0" xfId="1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1" xfId="0" applyFont="1" applyBorder="1" applyAlignment="1" applyProtection="1">
      <alignment vertical="center"/>
      <protection locked="0"/>
    </xf>
    <xf numFmtId="0" fontId="22" fillId="0" borderId="27" xfId="0" applyFont="1" applyBorder="1" applyAlignment="1" applyProtection="1">
      <alignment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27" xfId="0" applyFont="1" applyFill="1" applyBorder="1" applyAlignment="1" applyProtection="1">
      <alignment horizontal="left" vertical="center"/>
      <protection locked="0"/>
    </xf>
    <xf numFmtId="0" fontId="22" fillId="0" borderId="27" xfId="0" applyFont="1" applyFill="1" applyBorder="1" applyAlignment="1" applyProtection="1">
      <alignment horizontal="left" vertical="center"/>
      <protection locked="0"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left" vertical="center" wrapText="1"/>
      <protection locked="0"/>
    </xf>
    <xf numFmtId="0" fontId="23" fillId="0" borderId="53" xfId="0" applyFont="1" applyBorder="1" applyAlignment="1" applyProtection="1">
      <alignment vertical="center"/>
      <protection locked="0"/>
    </xf>
    <xf numFmtId="0" fontId="23" fillId="0" borderId="54" xfId="0" applyFont="1" applyFill="1" applyBorder="1" applyAlignment="1" applyProtection="1">
      <alignment horizontal="left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49" fontId="27" fillId="0" borderId="5" xfId="0" quotePrefix="1" applyNumberFormat="1" applyFont="1" applyBorder="1" applyAlignment="1">
      <alignment horizontal="center" vertical="center"/>
    </xf>
    <xf numFmtId="49" fontId="27" fillId="0" borderId="6" xfId="0" quotePrefix="1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4" fontId="22" fillId="0" borderId="20" xfId="0" applyNumberFormat="1" applyFont="1" applyBorder="1" applyAlignment="1" applyProtection="1">
      <alignment horizontal="center" vertical="center"/>
      <protection locked="0"/>
    </xf>
    <xf numFmtId="4" fontId="22" fillId="0" borderId="27" xfId="0" applyNumberFormat="1" applyFont="1" applyBorder="1" applyAlignment="1" applyProtection="1">
      <alignment horizontal="center" vertical="center"/>
      <protection locked="0"/>
    </xf>
    <xf numFmtId="4" fontId="22" fillId="0" borderId="27" xfId="0" applyNumberFormat="1" applyFont="1" applyBorder="1" applyAlignment="1" applyProtection="1">
      <alignment horizontal="right" vertical="center"/>
      <protection locked="0"/>
    </xf>
    <xf numFmtId="2" fontId="23" fillId="0" borderId="21" xfId="0" applyNumberFormat="1" applyFont="1" applyBorder="1" applyAlignment="1" applyProtection="1">
      <alignment horizontal="center" vertical="center"/>
      <protection locked="0"/>
    </xf>
    <xf numFmtId="2" fontId="22" fillId="0" borderId="27" xfId="0" applyNumberFormat="1" applyFont="1" applyBorder="1" applyAlignment="1" applyProtection="1">
      <alignment horizontal="right" vertical="center"/>
      <protection locked="0"/>
    </xf>
    <xf numFmtId="4" fontId="23" fillId="0" borderId="20" xfId="0" applyNumberFormat="1" applyFont="1" applyBorder="1" applyAlignment="1" applyProtection="1">
      <alignment horizontal="center" vertical="center"/>
      <protection locked="0"/>
    </xf>
    <xf numFmtId="4" fontId="23" fillId="0" borderId="27" xfId="0" applyNumberFormat="1" applyFont="1" applyBorder="1" applyAlignment="1" applyProtection="1">
      <alignment horizontal="center" vertical="center"/>
      <protection locked="0"/>
    </xf>
    <xf numFmtId="4" fontId="23" fillId="0" borderId="27" xfId="0" applyNumberFormat="1" applyFont="1" applyBorder="1" applyAlignment="1" applyProtection="1">
      <alignment horizontal="right" vertical="center"/>
      <protection locked="0"/>
    </xf>
    <xf numFmtId="4" fontId="23" fillId="0" borderId="52" xfId="0" applyNumberFormat="1" applyFont="1" applyBorder="1" applyAlignment="1" applyProtection="1">
      <alignment horizontal="center" vertical="center"/>
      <protection locked="0"/>
    </xf>
    <xf numFmtId="4" fontId="23" fillId="0" borderId="51" xfId="0" applyNumberFormat="1" applyFont="1" applyBorder="1" applyAlignment="1" applyProtection="1">
      <alignment horizontal="center" vertical="center"/>
      <protection locked="0"/>
    </xf>
    <xf numFmtId="4" fontId="23" fillId="0" borderId="51" xfId="0" applyNumberFormat="1" applyFont="1" applyBorder="1" applyAlignment="1" applyProtection="1">
      <alignment horizontal="right" vertical="center"/>
      <protection locked="0"/>
    </xf>
    <xf numFmtId="4" fontId="23" fillId="0" borderId="55" xfId="0" applyNumberFormat="1" applyFont="1" applyBorder="1" applyAlignment="1" applyProtection="1">
      <alignment horizontal="center" vertical="center"/>
      <protection locked="0"/>
    </xf>
    <xf numFmtId="4" fontId="23" fillId="0" borderId="54" xfId="0" applyNumberFormat="1" applyFont="1" applyBorder="1" applyAlignment="1" applyProtection="1">
      <alignment horizontal="center" vertical="center"/>
      <protection locked="0"/>
    </xf>
    <xf numFmtId="4" fontId="23" fillId="0" borderId="54" xfId="0" applyNumberFormat="1" applyFont="1" applyBorder="1" applyAlignment="1" applyProtection="1">
      <alignment horizontal="right" vertical="center"/>
      <protection locked="0"/>
    </xf>
    <xf numFmtId="4" fontId="22" fillId="0" borderId="54" xfId="0" applyNumberFormat="1" applyFont="1" applyBorder="1" applyAlignment="1" applyProtection="1">
      <alignment horizontal="right" vertical="center"/>
      <protection locked="0"/>
    </xf>
    <xf numFmtId="49" fontId="27" fillId="0" borderId="7" xfId="0" quotePrefix="1" applyNumberFormat="1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right" vertical="center"/>
    </xf>
    <xf numFmtId="0" fontId="27" fillId="0" borderId="7" xfId="0" applyFont="1" applyBorder="1" applyAlignment="1">
      <alignment horizontal="center" vertical="center"/>
    </xf>
    <xf numFmtId="4" fontId="26" fillId="0" borderId="5" xfId="0" applyNumberFormat="1" applyFont="1" applyBorder="1"/>
    <xf numFmtId="4" fontId="26" fillId="0" borderId="9" xfId="0" applyNumberFormat="1" applyFont="1" applyBorder="1"/>
    <xf numFmtId="4" fontId="26" fillId="0" borderId="7" xfId="0" applyNumberFormat="1" applyFont="1" applyBorder="1" applyAlignment="1">
      <alignment horizontal="right"/>
    </xf>
    <xf numFmtId="0" fontId="22" fillId="0" borderId="50" xfId="0" applyFont="1" applyBorder="1" applyAlignment="1" applyProtection="1">
      <alignment vertical="center"/>
      <protection locked="0"/>
    </xf>
    <xf numFmtId="0" fontId="22" fillId="0" borderId="51" xfId="0" applyFont="1" applyFill="1" applyBorder="1" applyAlignment="1" applyProtection="1">
      <alignment horizontal="left" vertical="center"/>
      <protection locked="0"/>
    </xf>
    <xf numFmtId="4" fontId="22" fillId="0" borderId="51" xfId="0" applyNumberFormat="1" applyFont="1" applyBorder="1" applyAlignment="1" applyProtection="1">
      <alignment horizontal="right" vertical="center"/>
      <protection locked="0"/>
    </xf>
    <xf numFmtId="0" fontId="23" fillId="0" borderId="35" xfId="0" applyFont="1" applyBorder="1" applyAlignment="1" applyProtection="1">
      <alignment vertical="center"/>
      <protection locked="0"/>
    </xf>
    <xf numFmtId="0" fontId="23" fillId="0" borderId="31" xfId="0" applyFont="1" applyFill="1" applyBorder="1" applyAlignment="1" applyProtection="1">
      <alignment horizontal="left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4" fontId="23" fillId="0" borderId="57" xfId="0" applyNumberFormat="1" applyFont="1" applyBorder="1" applyAlignment="1" applyProtection="1">
      <alignment horizontal="center" vertical="center"/>
      <protection locked="0"/>
    </xf>
    <xf numFmtId="4" fontId="23" fillId="0" borderId="31" xfId="0" applyNumberFormat="1" applyFont="1" applyBorder="1" applyAlignment="1" applyProtection="1">
      <alignment horizontal="center" vertical="center"/>
      <protection locked="0"/>
    </xf>
    <xf numFmtId="4" fontId="23" fillId="0" borderId="56" xfId="0" applyNumberFormat="1" applyFont="1" applyBorder="1" applyAlignment="1" applyProtection="1">
      <alignment horizontal="right" vertical="center"/>
      <protection locked="0"/>
    </xf>
    <xf numFmtId="4" fontId="23" fillId="0" borderId="31" xfId="0" applyNumberFormat="1" applyFont="1" applyBorder="1" applyAlignment="1" applyProtection="1">
      <alignment horizontal="right" vertical="center"/>
      <protection locked="0"/>
    </xf>
    <xf numFmtId="4" fontId="22" fillId="0" borderId="56" xfId="0" applyNumberFormat="1" applyFont="1" applyBorder="1" applyAlignment="1" applyProtection="1">
      <alignment horizontal="right" vertical="center"/>
      <protection locked="0"/>
    </xf>
    <xf numFmtId="0" fontId="23" fillId="0" borderId="58" xfId="0" applyFont="1" applyBorder="1" applyAlignment="1" applyProtection="1">
      <alignment vertical="center"/>
      <protection locked="0"/>
    </xf>
    <xf numFmtId="0" fontId="23" fillId="0" borderId="56" xfId="0" applyFont="1" applyFill="1" applyBorder="1" applyAlignment="1" applyProtection="1">
      <alignment horizontal="left" vertic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4" fontId="23" fillId="0" borderId="59" xfId="0" applyNumberFormat="1" applyFont="1" applyBorder="1" applyAlignment="1" applyProtection="1">
      <alignment horizontal="center" vertical="center"/>
      <protection locked="0"/>
    </xf>
    <xf numFmtId="4" fontId="23" fillId="0" borderId="56" xfId="0" applyNumberFormat="1" applyFont="1" applyBorder="1" applyAlignment="1" applyProtection="1">
      <alignment horizontal="center" vertical="center"/>
      <protection locked="0"/>
    </xf>
    <xf numFmtId="164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64" fontId="22" fillId="2" borderId="47" xfId="1" applyNumberFormat="1" applyFont="1" applyFill="1" applyBorder="1" applyAlignment="1">
      <alignment horizontal="center" vertical="center" wrapText="1"/>
    </xf>
    <xf numFmtId="164" fontId="22" fillId="2" borderId="48" xfId="1" applyNumberFormat="1" applyFont="1" applyFill="1" applyBorder="1" applyAlignment="1">
      <alignment horizontal="center" vertical="center" wrapText="1"/>
    </xf>
    <xf numFmtId="164" fontId="22" fillId="2" borderId="49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" fontId="27" fillId="0" borderId="5" xfId="0" applyNumberFormat="1" applyFont="1" applyBorder="1"/>
  </cellXfs>
  <cellStyles count="5">
    <cellStyle name="Millares" xfId="1" builtinId="3"/>
    <cellStyle name="Moneda 2" xf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showGridLines="0" tabSelected="1" view="pageBreakPreview" zoomScaleSheetLayoutView="100" workbookViewId="0">
      <pane ySplit="6" topLeftCell="A73" activePane="bottomLeft" state="frozen"/>
      <selection pane="bottomLeft" activeCell="H91" sqref="H91"/>
    </sheetView>
  </sheetViews>
  <sheetFormatPr baseColWidth="10" defaultColWidth="20" defaultRowHeight="13.8" x14ac:dyDescent="0.25"/>
  <cols>
    <col min="1" max="1" width="9.6640625" style="5" customWidth="1"/>
    <col min="2" max="2" width="64.6640625" style="5" customWidth="1"/>
    <col min="3" max="3" width="5.33203125" style="37" customWidth="1"/>
    <col min="4" max="4" width="6.44140625" style="37" customWidth="1"/>
    <col min="5" max="5" width="8.44140625" style="37" customWidth="1"/>
    <col min="6" max="6" width="8.6640625" style="38" customWidth="1"/>
    <col min="7" max="8" width="9.5546875" style="5" bestFit="1" customWidth="1"/>
    <col min="9" max="9" width="10.44140625" style="35" customWidth="1"/>
    <col min="10" max="10" width="11.5546875" style="5" hidden="1" customWidth="1"/>
    <col min="11" max="11" width="4.6640625" style="5" customWidth="1"/>
    <col min="12" max="12" width="11" style="5" customWidth="1"/>
    <col min="13" max="13" width="3.5546875" style="5" customWidth="1"/>
    <col min="14" max="16384" width="20" style="5"/>
  </cols>
  <sheetData>
    <row r="1" spans="1:10" s="4" customFormat="1" ht="31.5" customHeight="1" x14ac:dyDescent="0.25">
      <c r="A1" s="190" t="s">
        <v>45</v>
      </c>
      <c r="B1" s="190"/>
      <c r="C1" s="190"/>
      <c r="D1" s="190"/>
      <c r="E1" s="190"/>
      <c r="F1" s="190"/>
      <c r="G1" s="190"/>
      <c r="H1" s="190"/>
      <c r="I1" s="190"/>
    </row>
    <row r="2" spans="1:10" ht="24" customHeight="1" thickBot="1" x14ac:dyDescent="0.3">
      <c r="A2" s="106" t="s">
        <v>16</v>
      </c>
      <c r="B2" s="195" t="s">
        <v>174</v>
      </c>
      <c r="C2" s="196"/>
      <c r="D2" s="196"/>
      <c r="E2" s="196"/>
      <c r="F2" s="196"/>
      <c r="G2" s="196"/>
      <c r="H2" s="196"/>
      <c r="I2" s="197"/>
    </row>
    <row r="3" spans="1:10" ht="4.5" customHeight="1" x14ac:dyDescent="0.3">
      <c r="A3" s="107"/>
      <c r="B3" s="108"/>
      <c r="C3" s="108"/>
      <c r="D3" s="108"/>
      <c r="E3" s="109"/>
      <c r="F3" s="110"/>
      <c r="G3" s="111"/>
      <c r="H3" s="111"/>
      <c r="I3" s="112"/>
    </row>
    <row r="4" spans="1:10" x14ac:dyDescent="0.3">
      <c r="A4" s="113" t="s">
        <v>39</v>
      </c>
      <c r="B4" s="114" t="s">
        <v>171</v>
      </c>
      <c r="C4" s="115"/>
      <c r="D4" s="116"/>
      <c r="E4" s="117"/>
      <c r="F4" s="118"/>
      <c r="G4" s="119"/>
      <c r="H4" s="119"/>
      <c r="I4" s="120"/>
    </row>
    <row r="5" spans="1:10" ht="14.4" thickBot="1" x14ac:dyDescent="0.35">
      <c r="A5" s="121" t="s">
        <v>40</v>
      </c>
      <c r="B5" s="122" t="s">
        <v>172</v>
      </c>
      <c r="C5" s="123"/>
      <c r="D5" s="124"/>
      <c r="E5" s="125"/>
      <c r="F5" s="126"/>
      <c r="G5" s="127"/>
      <c r="H5" s="127"/>
      <c r="I5" s="128"/>
    </row>
    <row r="6" spans="1:10" ht="9" customHeight="1" thickTop="1" thickBot="1" x14ac:dyDescent="0.35">
      <c r="A6" s="107"/>
      <c r="B6" s="129"/>
      <c r="C6" s="115"/>
      <c r="D6" s="116"/>
      <c r="E6" s="109"/>
      <c r="F6" s="110"/>
      <c r="G6" s="111"/>
      <c r="H6" s="111"/>
      <c r="I6" s="112"/>
    </row>
    <row r="7" spans="1:10" ht="14.25" customHeight="1" thickBot="1" x14ac:dyDescent="0.3">
      <c r="A7" s="130" t="s">
        <v>38</v>
      </c>
      <c r="B7" s="131" t="s">
        <v>0</v>
      </c>
      <c r="C7" s="191" t="s">
        <v>1</v>
      </c>
      <c r="D7" s="191" t="s">
        <v>2</v>
      </c>
      <c r="E7" s="193" t="s">
        <v>11</v>
      </c>
      <c r="F7" s="194"/>
      <c r="G7" s="191" t="s">
        <v>50</v>
      </c>
      <c r="H7" s="191" t="s">
        <v>50</v>
      </c>
      <c r="I7" s="191" t="s">
        <v>7</v>
      </c>
    </row>
    <row r="8" spans="1:10" ht="14.4" thickBot="1" x14ac:dyDescent="0.3">
      <c r="A8" s="132"/>
      <c r="B8" s="133"/>
      <c r="C8" s="192"/>
      <c r="D8" s="192"/>
      <c r="E8" s="134" t="s">
        <v>17</v>
      </c>
      <c r="F8" s="134" t="s">
        <v>12</v>
      </c>
      <c r="G8" s="192"/>
      <c r="H8" s="192"/>
      <c r="I8" s="192"/>
    </row>
    <row r="9" spans="1:10" x14ac:dyDescent="0.25">
      <c r="A9" s="135" t="s">
        <v>5</v>
      </c>
      <c r="B9" s="136" t="s">
        <v>46</v>
      </c>
      <c r="C9" s="137"/>
      <c r="D9" s="151"/>
      <c r="E9" s="152"/>
      <c r="F9" s="153"/>
      <c r="G9" s="154"/>
      <c r="H9" s="154"/>
      <c r="I9" s="155"/>
    </row>
    <row r="10" spans="1:10" s="105" customFormat="1" ht="13.5" customHeight="1" x14ac:dyDescent="0.25">
      <c r="A10" s="138" t="s">
        <v>6</v>
      </c>
      <c r="B10" s="139" t="s">
        <v>51</v>
      </c>
      <c r="C10" s="137" t="s">
        <v>4</v>
      </c>
      <c r="D10" s="156">
        <v>1</v>
      </c>
      <c r="E10" s="157">
        <v>590.30999999999995</v>
      </c>
      <c r="F10" s="158">
        <f>+D10*E10</f>
        <v>590.30999999999995</v>
      </c>
      <c r="G10" s="158">
        <f>+F10</f>
        <v>590.30999999999995</v>
      </c>
      <c r="H10" s="158"/>
      <c r="I10" s="153">
        <f>SUM(G10:H10)</f>
        <v>590.30999999999995</v>
      </c>
      <c r="J10" s="103">
        <f t="shared" ref="J10:J73" si="0">+F10-I10</f>
        <v>0</v>
      </c>
    </row>
    <row r="11" spans="1:10" ht="13.5" customHeight="1" x14ac:dyDescent="0.25">
      <c r="A11" s="138" t="s">
        <v>14</v>
      </c>
      <c r="B11" s="139" t="s">
        <v>52</v>
      </c>
      <c r="C11" s="137" t="s">
        <v>53</v>
      </c>
      <c r="D11" s="156">
        <v>1</v>
      </c>
      <c r="E11" s="157">
        <v>1500</v>
      </c>
      <c r="F11" s="158">
        <f t="shared" ref="F11:F74" si="1">+D11*E11</f>
        <v>1500</v>
      </c>
      <c r="G11" s="158">
        <f>+F11*0.5</f>
        <v>750</v>
      </c>
      <c r="H11" s="158">
        <f>+F11-G11</f>
        <v>750</v>
      </c>
      <c r="I11" s="153">
        <f t="shared" ref="I11:I74" si="2">SUM(G11:H11)</f>
        <v>1500</v>
      </c>
      <c r="J11" s="103">
        <f t="shared" si="0"/>
        <v>0</v>
      </c>
    </row>
    <row r="12" spans="1:10" ht="13.5" customHeight="1" x14ac:dyDescent="0.25">
      <c r="A12" s="138" t="s">
        <v>15</v>
      </c>
      <c r="B12" s="139" t="s">
        <v>54</v>
      </c>
      <c r="C12" s="137" t="s">
        <v>55</v>
      </c>
      <c r="D12" s="156">
        <v>30</v>
      </c>
      <c r="E12" s="157">
        <v>77.45</v>
      </c>
      <c r="F12" s="158">
        <f t="shared" si="1"/>
        <v>2323.5</v>
      </c>
      <c r="G12" s="158">
        <f>+F12*0.5</f>
        <v>1161.75</v>
      </c>
      <c r="H12" s="158">
        <f>+F12-G12</f>
        <v>1161.75</v>
      </c>
      <c r="I12" s="153">
        <f t="shared" si="2"/>
        <v>2323.5</v>
      </c>
      <c r="J12" s="103">
        <f t="shared" si="0"/>
        <v>0</v>
      </c>
    </row>
    <row r="13" spans="1:10" ht="13.5" customHeight="1" x14ac:dyDescent="0.25">
      <c r="A13" s="135" t="s">
        <v>56</v>
      </c>
      <c r="B13" s="140" t="s">
        <v>49</v>
      </c>
      <c r="C13" s="137"/>
      <c r="D13" s="156"/>
      <c r="E13" s="157"/>
      <c r="F13" s="158"/>
      <c r="G13" s="158"/>
      <c r="H13" s="158"/>
      <c r="I13" s="153"/>
      <c r="J13" s="103">
        <f t="shared" si="0"/>
        <v>0</v>
      </c>
    </row>
    <row r="14" spans="1:10" ht="13.5" customHeight="1" x14ac:dyDescent="0.25">
      <c r="A14" s="138" t="s">
        <v>57</v>
      </c>
      <c r="B14" s="139" t="s">
        <v>58</v>
      </c>
      <c r="C14" s="137" t="s">
        <v>4</v>
      </c>
      <c r="D14" s="156">
        <v>8</v>
      </c>
      <c r="E14" s="157">
        <v>143.19999999999999</v>
      </c>
      <c r="F14" s="158">
        <f t="shared" si="1"/>
        <v>1145.5999999999999</v>
      </c>
      <c r="G14" s="158">
        <f>+F14*0.5</f>
        <v>572.79999999999995</v>
      </c>
      <c r="H14" s="158">
        <f>+F14-G14</f>
        <v>572.79999999999995</v>
      </c>
      <c r="I14" s="153">
        <f t="shared" si="2"/>
        <v>1145.5999999999999</v>
      </c>
      <c r="J14" s="103">
        <f t="shared" si="0"/>
        <v>0</v>
      </c>
    </row>
    <row r="15" spans="1:10" ht="13.5" customHeight="1" x14ac:dyDescent="0.25">
      <c r="A15" s="135" t="s">
        <v>59</v>
      </c>
      <c r="B15" s="140" t="s">
        <v>60</v>
      </c>
      <c r="C15" s="137"/>
      <c r="D15" s="156"/>
      <c r="E15" s="157"/>
      <c r="F15" s="158"/>
      <c r="G15" s="158"/>
      <c r="H15" s="158"/>
      <c r="I15" s="153"/>
      <c r="J15" s="103">
        <f t="shared" si="0"/>
        <v>0</v>
      </c>
    </row>
    <row r="16" spans="1:10" s="105" customFormat="1" ht="13.5" customHeight="1" x14ac:dyDescent="0.25">
      <c r="A16" s="135" t="s">
        <v>61</v>
      </c>
      <c r="B16" s="140" t="s">
        <v>62</v>
      </c>
      <c r="C16" s="137"/>
      <c r="D16" s="156"/>
      <c r="E16" s="157"/>
      <c r="F16" s="158"/>
      <c r="G16" s="158"/>
      <c r="H16" s="158"/>
      <c r="I16" s="153"/>
      <c r="J16" s="103">
        <f t="shared" si="0"/>
        <v>0</v>
      </c>
    </row>
    <row r="17" spans="1:10" ht="13.5" customHeight="1" x14ac:dyDescent="0.25">
      <c r="A17" s="138" t="s">
        <v>63</v>
      </c>
      <c r="B17" s="139" t="s">
        <v>64</v>
      </c>
      <c r="C17" s="137" t="s">
        <v>3</v>
      </c>
      <c r="D17" s="156">
        <v>455.45</v>
      </c>
      <c r="E17" s="157">
        <v>11.27</v>
      </c>
      <c r="F17" s="158">
        <f t="shared" si="1"/>
        <v>5132.9214999999995</v>
      </c>
      <c r="G17" s="158">
        <f>+F17</f>
        <v>5132.9214999999995</v>
      </c>
      <c r="H17" s="158"/>
      <c r="I17" s="153">
        <f t="shared" si="2"/>
        <v>5132.9214999999995</v>
      </c>
      <c r="J17" s="103">
        <f t="shared" si="0"/>
        <v>0</v>
      </c>
    </row>
    <row r="18" spans="1:10" s="105" customFormat="1" ht="12" customHeight="1" x14ac:dyDescent="0.25">
      <c r="A18" s="138" t="s">
        <v>65</v>
      </c>
      <c r="B18" s="139" t="s">
        <v>173</v>
      </c>
      <c r="C18" s="137" t="s">
        <v>8</v>
      </c>
      <c r="D18" s="156">
        <v>79.77</v>
      </c>
      <c r="E18" s="157">
        <v>14.84</v>
      </c>
      <c r="F18" s="158">
        <f t="shared" si="1"/>
        <v>1183.7867999999999</v>
      </c>
      <c r="G18" s="158">
        <f>+F18</f>
        <v>1183.7867999999999</v>
      </c>
      <c r="H18" s="158"/>
      <c r="I18" s="153">
        <f t="shared" si="2"/>
        <v>1183.7867999999999</v>
      </c>
      <c r="J18" s="103">
        <f t="shared" si="0"/>
        <v>0</v>
      </c>
    </row>
    <row r="19" spans="1:10" s="105" customFormat="1" ht="13.5" customHeight="1" x14ac:dyDescent="0.25">
      <c r="A19" s="135" t="s">
        <v>66</v>
      </c>
      <c r="B19" s="140" t="s">
        <v>67</v>
      </c>
      <c r="C19" s="137"/>
      <c r="D19" s="156"/>
      <c r="E19" s="157"/>
      <c r="F19" s="158"/>
      <c r="G19" s="158"/>
      <c r="H19" s="158"/>
      <c r="I19" s="153"/>
      <c r="J19" s="103">
        <f t="shared" si="0"/>
        <v>0</v>
      </c>
    </row>
    <row r="20" spans="1:10" ht="13.5" customHeight="1" x14ac:dyDescent="0.25">
      <c r="A20" s="138" t="s">
        <v>68</v>
      </c>
      <c r="B20" s="139" t="s">
        <v>69</v>
      </c>
      <c r="C20" s="137" t="s">
        <v>3</v>
      </c>
      <c r="D20" s="156">
        <v>463.66</v>
      </c>
      <c r="E20" s="157">
        <v>2.1</v>
      </c>
      <c r="F20" s="158">
        <f t="shared" si="1"/>
        <v>973.68600000000015</v>
      </c>
      <c r="G20" s="158">
        <f>+F20</f>
        <v>973.68600000000015</v>
      </c>
      <c r="H20" s="158"/>
      <c r="I20" s="153">
        <f t="shared" si="2"/>
        <v>973.68600000000015</v>
      </c>
      <c r="J20" s="103">
        <f t="shared" si="0"/>
        <v>0</v>
      </c>
    </row>
    <row r="21" spans="1:10" s="105" customFormat="1" ht="13.5" customHeight="1" x14ac:dyDescent="0.25">
      <c r="A21" s="135" t="s">
        <v>70</v>
      </c>
      <c r="B21" s="140" t="s">
        <v>71</v>
      </c>
      <c r="C21" s="137"/>
      <c r="D21" s="156"/>
      <c r="E21" s="157"/>
      <c r="F21" s="158"/>
      <c r="G21" s="158"/>
      <c r="H21" s="158"/>
      <c r="I21" s="153"/>
      <c r="J21" s="103">
        <f t="shared" si="0"/>
        <v>0</v>
      </c>
    </row>
    <row r="22" spans="1:10" s="105" customFormat="1" ht="13.5" customHeight="1" x14ac:dyDescent="0.25">
      <c r="A22" s="138" t="s">
        <v>72</v>
      </c>
      <c r="B22" s="139" t="s">
        <v>73</v>
      </c>
      <c r="C22" s="137" t="s">
        <v>8</v>
      </c>
      <c r="D22" s="156">
        <v>55.42</v>
      </c>
      <c r="E22" s="157">
        <v>3.06</v>
      </c>
      <c r="F22" s="158">
        <f t="shared" si="1"/>
        <v>169.58520000000001</v>
      </c>
      <c r="G22" s="158">
        <f>+F22</f>
        <v>169.58520000000001</v>
      </c>
      <c r="H22" s="158"/>
      <c r="I22" s="153">
        <f t="shared" si="2"/>
        <v>169.58520000000001</v>
      </c>
      <c r="J22" s="103">
        <f t="shared" si="0"/>
        <v>0</v>
      </c>
    </row>
    <row r="23" spans="1:10" ht="13.5" customHeight="1" x14ac:dyDescent="0.25">
      <c r="A23" s="138" t="s">
        <v>74</v>
      </c>
      <c r="B23" s="139" t="s">
        <v>75</v>
      </c>
      <c r="C23" s="137" t="s">
        <v>3</v>
      </c>
      <c r="D23" s="156">
        <v>463.66</v>
      </c>
      <c r="E23" s="157">
        <v>5.54</v>
      </c>
      <c r="F23" s="158">
        <f t="shared" si="1"/>
        <v>2568.6764000000003</v>
      </c>
      <c r="G23" s="158">
        <f>+F23</f>
        <v>2568.6764000000003</v>
      </c>
      <c r="H23" s="158"/>
      <c r="I23" s="153">
        <f t="shared" si="2"/>
        <v>2568.6764000000003</v>
      </c>
      <c r="J23" s="103">
        <f t="shared" si="0"/>
        <v>0</v>
      </c>
    </row>
    <row r="24" spans="1:10" ht="13.5" customHeight="1" x14ac:dyDescent="0.25">
      <c r="A24" s="138" t="s">
        <v>76</v>
      </c>
      <c r="B24" s="139" t="s">
        <v>77</v>
      </c>
      <c r="C24" s="137" t="s">
        <v>3</v>
      </c>
      <c r="D24" s="156">
        <v>463.66</v>
      </c>
      <c r="E24" s="157">
        <v>11.21</v>
      </c>
      <c r="F24" s="158">
        <f t="shared" si="1"/>
        <v>5197.6286000000009</v>
      </c>
      <c r="G24" s="158">
        <f>+F24</f>
        <v>5197.6286000000009</v>
      </c>
      <c r="H24" s="158"/>
      <c r="I24" s="153">
        <f t="shared" si="2"/>
        <v>5197.6286000000009</v>
      </c>
      <c r="J24" s="103">
        <f t="shared" si="0"/>
        <v>0</v>
      </c>
    </row>
    <row r="25" spans="1:10" ht="13.5" customHeight="1" x14ac:dyDescent="0.25">
      <c r="A25" s="138" t="s">
        <v>78</v>
      </c>
      <c r="B25" s="139" t="s">
        <v>79</v>
      </c>
      <c r="C25" s="137" t="s">
        <v>8</v>
      </c>
      <c r="D25" s="156">
        <v>66.5</v>
      </c>
      <c r="E25" s="157">
        <v>15.34</v>
      </c>
      <c r="F25" s="158">
        <f t="shared" si="1"/>
        <v>1020.11</v>
      </c>
      <c r="G25" s="158">
        <f>+F25</f>
        <v>1020.11</v>
      </c>
      <c r="H25" s="158"/>
      <c r="I25" s="153">
        <f t="shared" si="2"/>
        <v>1020.11</v>
      </c>
      <c r="J25" s="103">
        <f t="shared" si="0"/>
        <v>0</v>
      </c>
    </row>
    <row r="26" spans="1:10" s="105" customFormat="1" ht="13.5" customHeight="1" x14ac:dyDescent="0.25">
      <c r="A26" s="135" t="s">
        <v>80</v>
      </c>
      <c r="B26" s="140" t="s">
        <v>81</v>
      </c>
      <c r="C26" s="137"/>
      <c r="D26" s="156"/>
      <c r="E26" s="157"/>
      <c r="F26" s="158"/>
      <c r="G26" s="158"/>
      <c r="H26" s="158"/>
      <c r="I26" s="153"/>
      <c r="J26" s="103">
        <f t="shared" si="0"/>
        <v>0</v>
      </c>
    </row>
    <row r="27" spans="1:10" ht="13.5" customHeight="1" x14ac:dyDescent="0.25">
      <c r="A27" s="138" t="s">
        <v>82</v>
      </c>
      <c r="B27" s="139" t="s">
        <v>83</v>
      </c>
      <c r="C27" s="137" t="s">
        <v>3</v>
      </c>
      <c r="D27" s="156">
        <v>131.27000000000001</v>
      </c>
      <c r="E27" s="157">
        <v>36.700000000000003</v>
      </c>
      <c r="F27" s="158">
        <f t="shared" si="1"/>
        <v>4817.6090000000004</v>
      </c>
      <c r="G27" s="158">
        <f>+F27*0.3</f>
        <v>1445.2827</v>
      </c>
      <c r="H27" s="158">
        <f>+F27-G27</f>
        <v>3372.3263000000006</v>
      </c>
      <c r="I27" s="153">
        <f t="shared" si="2"/>
        <v>4817.6090000000004</v>
      </c>
      <c r="J27" s="103">
        <f t="shared" si="0"/>
        <v>0</v>
      </c>
    </row>
    <row r="28" spans="1:10" s="105" customFormat="1" ht="13.5" customHeight="1" x14ac:dyDescent="0.25">
      <c r="A28" s="138" t="s">
        <v>84</v>
      </c>
      <c r="B28" s="139" t="s">
        <v>85</v>
      </c>
      <c r="C28" s="137" t="s">
        <v>3</v>
      </c>
      <c r="D28" s="156">
        <v>463.66</v>
      </c>
      <c r="E28" s="157">
        <v>54.17</v>
      </c>
      <c r="F28" s="158">
        <f t="shared" si="1"/>
        <v>25116.462200000002</v>
      </c>
      <c r="G28" s="158"/>
      <c r="H28" s="158">
        <f>+F28</f>
        <v>25116.462200000002</v>
      </c>
      <c r="I28" s="153">
        <f t="shared" si="2"/>
        <v>25116.462200000002</v>
      </c>
      <c r="J28" s="103">
        <f t="shared" si="0"/>
        <v>0</v>
      </c>
    </row>
    <row r="29" spans="1:10" ht="13.5" customHeight="1" x14ac:dyDescent="0.25">
      <c r="A29" s="138" t="s">
        <v>86</v>
      </c>
      <c r="B29" s="139" t="s">
        <v>87</v>
      </c>
      <c r="C29" s="137" t="s">
        <v>3</v>
      </c>
      <c r="D29" s="156">
        <v>463.66</v>
      </c>
      <c r="E29" s="157">
        <v>1.66</v>
      </c>
      <c r="F29" s="158">
        <f t="shared" si="1"/>
        <v>769.67560000000003</v>
      </c>
      <c r="G29" s="158"/>
      <c r="H29" s="158">
        <f>+F29</f>
        <v>769.67560000000003</v>
      </c>
      <c r="I29" s="153">
        <f t="shared" si="2"/>
        <v>769.67560000000003</v>
      </c>
      <c r="J29" s="103">
        <f t="shared" si="0"/>
        <v>0</v>
      </c>
    </row>
    <row r="30" spans="1:10" s="105" customFormat="1" ht="13.5" customHeight="1" x14ac:dyDescent="0.25">
      <c r="A30" s="135" t="s">
        <v>88</v>
      </c>
      <c r="B30" s="140" t="s">
        <v>89</v>
      </c>
      <c r="C30" s="137"/>
      <c r="D30" s="156"/>
      <c r="E30" s="157"/>
      <c r="F30" s="158"/>
      <c r="G30" s="158"/>
      <c r="H30" s="158"/>
      <c r="I30" s="153"/>
      <c r="J30" s="103">
        <f t="shared" si="0"/>
        <v>0</v>
      </c>
    </row>
    <row r="31" spans="1:10" ht="13.5" customHeight="1" x14ac:dyDescent="0.25">
      <c r="A31" s="138" t="s">
        <v>90</v>
      </c>
      <c r="B31" s="139" t="s">
        <v>91</v>
      </c>
      <c r="C31" s="137" t="s">
        <v>10</v>
      </c>
      <c r="D31" s="156">
        <v>130.5</v>
      </c>
      <c r="E31" s="157">
        <v>6.93</v>
      </c>
      <c r="F31" s="158">
        <f t="shared" si="1"/>
        <v>904.36500000000001</v>
      </c>
      <c r="G31" s="158"/>
      <c r="H31" s="158">
        <f>+F31</f>
        <v>904.36500000000001</v>
      </c>
      <c r="I31" s="153">
        <f t="shared" si="2"/>
        <v>904.36500000000001</v>
      </c>
      <c r="J31" s="103">
        <f t="shared" si="0"/>
        <v>0</v>
      </c>
    </row>
    <row r="32" spans="1:10" ht="13.5" customHeight="1" x14ac:dyDescent="0.25">
      <c r="A32" s="135" t="s">
        <v>92</v>
      </c>
      <c r="B32" s="140" t="s">
        <v>93</v>
      </c>
      <c r="C32" s="137"/>
      <c r="D32" s="156"/>
      <c r="E32" s="157"/>
      <c r="F32" s="158"/>
      <c r="G32" s="158"/>
      <c r="H32" s="158"/>
      <c r="I32" s="153"/>
      <c r="J32" s="103">
        <f t="shared" si="0"/>
        <v>0</v>
      </c>
    </row>
    <row r="33" spans="1:10" s="105" customFormat="1" ht="13.5" customHeight="1" x14ac:dyDescent="0.25">
      <c r="A33" s="135" t="s">
        <v>94</v>
      </c>
      <c r="B33" s="140" t="s">
        <v>67</v>
      </c>
      <c r="C33" s="137"/>
      <c r="D33" s="156"/>
      <c r="E33" s="157"/>
      <c r="F33" s="158"/>
      <c r="G33" s="158"/>
      <c r="H33" s="158"/>
      <c r="I33" s="153"/>
      <c r="J33" s="103">
        <f t="shared" si="0"/>
        <v>0</v>
      </c>
    </row>
    <row r="34" spans="1:10" s="105" customFormat="1" ht="13.5" customHeight="1" x14ac:dyDescent="0.25">
      <c r="A34" s="177" t="s">
        <v>95</v>
      </c>
      <c r="B34" s="178" t="s">
        <v>96</v>
      </c>
      <c r="C34" s="179" t="s">
        <v>3</v>
      </c>
      <c r="D34" s="180">
        <v>18.14</v>
      </c>
      <c r="E34" s="181">
        <v>2.1</v>
      </c>
      <c r="F34" s="182">
        <f t="shared" si="1"/>
        <v>38.094000000000001</v>
      </c>
      <c r="G34" s="183">
        <f>+F34</f>
        <v>38.094000000000001</v>
      </c>
      <c r="H34" s="183"/>
      <c r="I34" s="184">
        <f t="shared" si="2"/>
        <v>38.094000000000001</v>
      </c>
      <c r="J34" s="103">
        <f t="shared" si="0"/>
        <v>0</v>
      </c>
    </row>
    <row r="35" spans="1:10" s="105" customFormat="1" ht="13.5" customHeight="1" x14ac:dyDescent="0.25">
      <c r="A35" s="174" t="s">
        <v>97</v>
      </c>
      <c r="B35" s="175" t="s">
        <v>71</v>
      </c>
      <c r="C35" s="141"/>
      <c r="D35" s="159"/>
      <c r="E35" s="160"/>
      <c r="F35" s="161"/>
      <c r="G35" s="161"/>
      <c r="H35" s="161"/>
      <c r="I35" s="176"/>
      <c r="J35" s="103">
        <f t="shared" si="0"/>
        <v>0</v>
      </c>
    </row>
    <row r="36" spans="1:10" ht="13.5" customHeight="1" x14ac:dyDescent="0.25">
      <c r="A36" s="138" t="s">
        <v>98</v>
      </c>
      <c r="B36" s="139" t="s">
        <v>99</v>
      </c>
      <c r="C36" s="137" t="s">
        <v>8</v>
      </c>
      <c r="D36" s="156">
        <v>2.21</v>
      </c>
      <c r="E36" s="157">
        <v>38.21</v>
      </c>
      <c r="F36" s="158">
        <f t="shared" si="1"/>
        <v>84.444100000000006</v>
      </c>
      <c r="G36" s="158">
        <f>+F36</f>
        <v>84.444100000000006</v>
      </c>
      <c r="H36" s="158"/>
      <c r="I36" s="153">
        <f t="shared" si="2"/>
        <v>84.444100000000006</v>
      </c>
      <c r="J36" s="103">
        <f t="shared" si="0"/>
        <v>0</v>
      </c>
    </row>
    <row r="37" spans="1:10" x14ac:dyDescent="0.25">
      <c r="A37" s="138" t="s">
        <v>100</v>
      </c>
      <c r="B37" s="142" t="s">
        <v>101</v>
      </c>
      <c r="C37" s="137" t="s">
        <v>3</v>
      </c>
      <c r="D37" s="156">
        <v>18.14</v>
      </c>
      <c r="E37" s="157">
        <v>5.54</v>
      </c>
      <c r="F37" s="158">
        <f t="shared" si="1"/>
        <v>100.49560000000001</v>
      </c>
      <c r="G37" s="158">
        <f>+F37</f>
        <v>100.49560000000001</v>
      </c>
      <c r="H37" s="158"/>
      <c r="I37" s="153">
        <f t="shared" si="2"/>
        <v>100.49560000000001</v>
      </c>
      <c r="J37" s="103">
        <f t="shared" si="0"/>
        <v>0</v>
      </c>
    </row>
    <row r="38" spans="1:10" s="105" customFormat="1" ht="13.5" customHeight="1" x14ac:dyDescent="0.25">
      <c r="A38" s="138" t="s">
        <v>102</v>
      </c>
      <c r="B38" s="139" t="s">
        <v>103</v>
      </c>
      <c r="C38" s="137" t="s">
        <v>3</v>
      </c>
      <c r="D38" s="156">
        <v>18.14</v>
      </c>
      <c r="E38" s="157">
        <v>11.21</v>
      </c>
      <c r="F38" s="158">
        <f t="shared" si="1"/>
        <v>203.34940000000003</v>
      </c>
      <c r="G38" s="158">
        <f>+F38</f>
        <v>203.34940000000003</v>
      </c>
      <c r="H38" s="158"/>
      <c r="I38" s="153">
        <f t="shared" si="2"/>
        <v>203.34940000000003</v>
      </c>
      <c r="J38" s="103">
        <f t="shared" si="0"/>
        <v>0</v>
      </c>
    </row>
    <row r="39" spans="1:10" ht="13.5" customHeight="1" x14ac:dyDescent="0.25">
      <c r="A39" s="138" t="s">
        <v>104</v>
      </c>
      <c r="B39" s="139" t="s">
        <v>79</v>
      </c>
      <c r="C39" s="137" t="s">
        <v>8</v>
      </c>
      <c r="D39" s="156">
        <v>2.65</v>
      </c>
      <c r="E39" s="157">
        <v>15.34</v>
      </c>
      <c r="F39" s="158">
        <f t="shared" si="1"/>
        <v>40.650999999999996</v>
      </c>
      <c r="G39" s="158">
        <f>+F39</f>
        <v>40.650999999999996</v>
      </c>
      <c r="H39" s="158"/>
      <c r="I39" s="153">
        <f t="shared" si="2"/>
        <v>40.650999999999996</v>
      </c>
      <c r="J39" s="103">
        <f t="shared" si="0"/>
        <v>0</v>
      </c>
    </row>
    <row r="40" spans="1:10" s="105" customFormat="1" ht="13.5" customHeight="1" x14ac:dyDescent="0.25">
      <c r="A40" s="135" t="s">
        <v>105</v>
      </c>
      <c r="B40" s="140" t="s">
        <v>106</v>
      </c>
      <c r="C40" s="137"/>
      <c r="D40" s="156"/>
      <c r="E40" s="157"/>
      <c r="F40" s="158"/>
      <c r="G40" s="158"/>
      <c r="H40" s="158"/>
      <c r="I40" s="153"/>
      <c r="J40" s="103">
        <f t="shared" si="0"/>
        <v>0</v>
      </c>
    </row>
    <row r="41" spans="1:10" ht="13.5" customHeight="1" x14ac:dyDescent="0.25">
      <c r="A41" s="138" t="s">
        <v>107</v>
      </c>
      <c r="B41" s="139" t="s">
        <v>108</v>
      </c>
      <c r="C41" s="137" t="s">
        <v>3</v>
      </c>
      <c r="D41" s="156">
        <v>9.0399999999999991</v>
      </c>
      <c r="E41" s="157">
        <v>39.99</v>
      </c>
      <c r="F41" s="158">
        <f t="shared" si="1"/>
        <v>361.50959999999998</v>
      </c>
      <c r="G41" s="158">
        <f>+F41*0.3</f>
        <v>108.45287999999999</v>
      </c>
      <c r="H41" s="158">
        <f>+F41-G41</f>
        <v>253.05671999999998</v>
      </c>
      <c r="I41" s="153">
        <f t="shared" si="2"/>
        <v>361.50959999999998</v>
      </c>
      <c r="J41" s="103">
        <f t="shared" si="0"/>
        <v>0</v>
      </c>
    </row>
    <row r="42" spans="1:10" ht="13.5" customHeight="1" x14ac:dyDescent="0.25">
      <c r="A42" s="138" t="s">
        <v>109</v>
      </c>
      <c r="B42" s="139" t="s">
        <v>110</v>
      </c>
      <c r="C42" s="137" t="s">
        <v>3</v>
      </c>
      <c r="D42" s="156">
        <v>18.14</v>
      </c>
      <c r="E42" s="157">
        <v>60.47</v>
      </c>
      <c r="F42" s="158">
        <f t="shared" si="1"/>
        <v>1096.9258</v>
      </c>
      <c r="G42" s="158"/>
      <c r="H42" s="158">
        <f>+F42</f>
        <v>1096.9258</v>
      </c>
      <c r="I42" s="153">
        <f t="shared" si="2"/>
        <v>1096.9258</v>
      </c>
      <c r="J42" s="103">
        <f t="shared" si="0"/>
        <v>0</v>
      </c>
    </row>
    <row r="43" spans="1:10" ht="13.5" customHeight="1" x14ac:dyDescent="0.25">
      <c r="A43" s="138" t="s">
        <v>111</v>
      </c>
      <c r="B43" s="139" t="s">
        <v>112</v>
      </c>
      <c r="C43" s="137" t="s">
        <v>3</v>
      </c>
      <c r="D43" s="156">
        <v>18.14</v>
      </c>
      <c r="E43" s="157">
        <v>1.66</v>
      </c>
      <c r="F43" s="158">
        <f t="shared" si="1"/>
        <v>30.112400000000001</v>
      </c>
      <c r="G43" s="158"/>
      <c r="H43" s="158">
        <f>+F43</f>
        <v>30.112400000000001</v>
      </c>
      <c r="I43" s="153">
        <f t="shared" si="2"/>
        <v>30.112400000000001</v>
      </c>
      <c r="J43" s="103">
        <f t="shared" si="0"/>
        <v>0</v>
      </c>
    </row>
    <row r="44" spans="1:10" ht="13.5" customHeight="1" x14ac:dyDescent="0.25">
      <c r="A44" s="135" t="s">
        <v>113</v>
      </c>
      <c r="B44" s="140" t="s">
        <v>114</v>
      </c>
      <c r="C44" s="137"/>
      <c r="D44" s="156"/>
      <c r="E44" s="157"/>
      <c r="F44" s="158"/>
      <c r="G44" s="158"/>
      <c r="H44" s="158"/>
      <c r="I44" s="153"/>
      <c r="J44" s="103">
        <f t="shared" si="0"/>
        <v>0</v>
      </c>
    </row>
    <row r="45" spans="1:10" s="105" customFormat="1" ht="13.5" customHeight="1" x14ac:dyDescent="0.25">
      <c r="A45" s="135" t="s">
        <v>115</v>
      </c>
      <c r="B45" s="140" t="s">
        <v>67</v>
      </c>
      <c r="C45" s="137"/>
      <c r="D45" s="156"/>
      <c r="E45" s="157"/>
      <c r="F45" s="158"/>
      <c r="G45" s="158"/>
      <c r="H45" s="158"/>
      <c r="I45" s="153"/>
      <c r="J45" s="103">
        <f t="shared" si="0"/>
        <v>0</v>
      </c>
    </row>
    <row r="46" spans="1:10" ht="13.5" customHeight="1" x14ac:dyDescent="0.25">
      <c r="A46" s="138" t="s">
        <v>116</v>
      </c>
      <c r="B46" s="139" t="s">
        <v>117</v>
      </c>
      <c r="C46" s="137" t="s">
        <v>10</v>
      </c>
      <c r="D46" s="156">
        <v>192.71</v>
      </c>
      <c r="E46" s="157">
        <v>0.81</v>
      </c>
      <c r="F46" s="158">
        <f t="shared" si="1"/>
        <v>156.09510000000003</v>
      </c>
      <c r="G46" s="158">
        <f>+F46</f>
        <v>156.09510000000003</v>
      </c>
      <c r="H46" s="158"/>
      <c r="I46" s="153">
        <f t="shared" si="2"/>
        <v>156.09510000000003</v>
      </c>
      <c r="J46" s="103">
        <f t="shared" si="0"/>
        <v>0</v>
      </c>
    </row>
    <row r="47" spans="1:10" s="105" customFormat="1" ht="13.5" customHeight="1" x14ac:dyDescent="0.25">
      <c r="A47" s="135" t="s">
        <v>118</v>
      </c>
      <c r="B47" s="140" t="s">
        <v>71</v>
      </c>
      <c r="C47" s="137"/>
      <c r="D47" s="156"/>
      <c r="E47" s="157"/>
      <c r="F47" s="158"/>
      <c r="G47" s="158"/>
      <c r="H47" s="158"/>
      <c r="I47" s="153"/>
      <c r="J47" s="103">
        <f t="shared" si="0"/>
        <v>0</v>
      </c>
    </row>
    <row r="48" spans="1:10" ht="13.5" customHeight="1" x14ac:dyDescent="0.25">
      <c r="A48" s="138" t="s">
        <v>119</v>
      </c>
      <c r="B48" s="139" t="s">
        <v>120</v>
      </c>
      <c r="C48" s="137" t="s">
        <v>8</v>
      </c>
      <c r="D48" s="156">
        <v>7.23</v>
      </c>
      <c r="E48" s="157">
        <v>38.21</v>
      </c>
      <c r="F48" s="158">
        <f t="shared" si="1"/>
        <v>276.25830000000002</v>
      </c>
      <c r="G48" s="158"/>
      <c r="H48" s="158">
        <f>+F48</f>
        <v>276.25830000000002</v>
      </c>
      <c r="I48" s="153">
        <f t="shared" si="2"/>
        <v>276.25830000000002</v>
      </c>
      <c r="J48" s="103">
        <f t="shared" si="0"/>
        <v>0</v>
      </c>
    </row>
    <row r="49" spans="1:10" ht="13.5" customHeight="1" x14ac:dyDescent="0.25">
      <c r="A49" s="138" t="s">
        <v>121</v>
      </c>
      <c r="B49" s="139" t="s">
        <v>79</v>
      </c>
      <c r="C49" s="137" t="s">
        <v>8</v>
      </c>
      <c r="D49" s="156">
        <v>8.67</v>
      </c>
      <c r="E49" s="157">
        <v>15.34</v>
      </c>
      <c r="F49" s="158">
        <f t="shared" si="1"/>
        <v>132.99779999999998</v>
      </c>
      <c r="G49" s="158"/>
      <c r="H49" s="158">
        <f>+F49</f>
        <v>132.99779999999998</v>
      </c>
      <c r="I49" s="153">
        <f t="shared" si="2"/>
        <v>132.99779999999998</v>
      </c>
      <c r="J49" s="103">
        <f t="shared" si="0"/>
        <v>0</v>
      </c>
    </row>
    <row r="50" spans="1:10" s="105" customFormat="1" ht="13.5" customHeight="1" x14ac:dyDescent="0.25">
      <c r="A50" s="135" t="s">
        <v>122</v>
      </c>
      <c r="B50" s="140" t="s">
        <v>123</v>
      </c>
      <c r="C50" s="137"/>
      <c r="D50" s="156"/>
      <c r="E50" s="157"/>
      <c r="F50" s="158"/>
      <c r="G50" s="158"/>
      <c r="H50" s="158"/>
      <c r="I50" s="153"/>
      <c r="J50" s="103">
        <f t="shared" si="0"/>
        <v>0</v>
      </c>
    </row>
    <row r="51" spans="1:10" ht="13.5" customHeight="1" x14ac:dyDescent="0.25">
      <c r="A51" s="138" t="s">
        <v>124</v>
      </c>
      <c r="B51" s="139" t="s">
        <v>125</v>
      </c>
      <c r="C51" s="137" t="s">
        <v>3</v>
      </c>
      <c r="D51" s="156">
        <v>154.16999999999999</v>
      </c>
      <c r="E51" s="157">
        <v>36.700000000000003</v>
      </c>
      <c r="F51" s="158">
        <f t="shared" si="1"/>
        <v>5658.0389999999998</v>
      </c>
      <c r="G51" s="158"/>
      <c r="H51" s="158">
        <f t="shared" ref="H51:H55" si="3">+F51</f>
        <v>5658.0389999999998</v>
      </c>
      <c r="I51" s="153">
        <f t="shared" si="2"/>
        <v>5658.0389999999998</v>
      </c>
      <c r="J51" s="103">
        <f t="shared" si="0"/>
        <v>0</v>
      </c>
    </row>
    <row r="52" spans="1:10" ht="13.5" customHeight="1" x14ac:dyDescent="0.25">
      <c r="A52" s="138" t="s">
        <v>126</v>
      </c>
      <c r="B52" s="139" t="s">
        <v>127</v>
      </c>
      <c r="C52" s="137" t="s">
        <v>10</v>
      </c>
      <c r="D52" s="156">
        <v>192.71</v>
      </c>
      <c r="E52" s="157">
        <v>24.23</v>
      </c>
      <c r="F52" s="158">
        <f t="shared" si="1"/>
        <v>4669.3633</v>
      </c>
      <c r="G52" s="158"/>
      <c r="H52" s="158">
        <f t="shared" si="3"/>
        <v>4669.3633</v>
      </c>
      <c r="I52" s="153">
        <f t="shared" si="2"/>
        <v>4669.3633</v>
      </c>
      <c r="J52" s="103">
        <f t="shared" si="0"/>
        <v>0</v>
      </c>
    </row>
    <row r="53" spans="1:10" ht="13.5" customHeight="1" x14ac:dyDescent="0.25">
      <c r="A53" s="138" t="s">
        <v>128</v>
      </c>
      <c r="B53" s="139" t="s">
        <v>129</v>
      </c>
      <c r="C53" s="137" t="s">
        <v>130</v>
      </c>
      <c r="D53" s="156">
        <v>437.79</v>
      </c>
      <c r="E53" s="157">
        <v>4.75</v>
      </c>
      <c r="F53" s="158">
        <f t="shared" si="1"/>
        <v>2079.5025000000001</v>
      </c>
      <c r="G53" s="158"/>
      <c r="H53" s="158">
        <f t="shared" si="3"/>
        <v>2079.5025000000001</v>
      </c>
      <c r="I53" s="153">
        <f t="shared" si="2"/>
        <v>2079.5025000000001</v>
      </c>
      <c r="J53" s="103">
        <f t="shared" si="0"/>
        <v>0</v>
      </c>
    </row>
    <row r="54" spans="1:10" s="105" customFormat="1" ht="13.5" customHeight="1" x14ac:dyDescent="0.25">
      <c r="A54" s="135" t="s">
        <v>131</v>
      </c>
      <c r="B54" s="140" t="s">
        <v>89</v>
      </c>
      <c r="C54" s="137"/>
      <c r="D54" s="156"/>
      <c r="E54" s="157"/>
      <c r="F54" s="158"/>
      <c r="G54" s="158"/>
      <c r="H54" s="158"/>
      <c r="I54" s="153"/>
      <c r="J54" s="103">
        <f t="shared" si="0"/>
        <v>0</v>
      </c>
    </row>
    <row r="55" spans="1:10" ht="13.5" customHeight="1" x14ac:dyDescent="0.25">
      <c r="A55" s="138" t="s">
        <v>132</v>
      </c>
      <c r="B55" s="139" t="s">
        <v>133</v>
      </c>
      <c r="C55" s="137" t="s">
        <v>10</v>
      </c>
      <c r="D55" s="156">
        <v>7.8</v>
      </c>
      <c r="E55" s="157">
        <v>6.93</v>
      </c>
      <c r="F55" s="158">
        <f t="shared" si="1"/>
        <v>54.053999999999995</v>
      </c>
      <c r="G55" s="158"/>
      <c r="H55" s="158">
        <f t="shared" si="3"/>
        <v>54.053999999999995</v>
      </c>
      <c r="I55" s="153">
        <f t="shared" si="2"/>
        <v>54.053999999999995</v>
      </c>
      <c r="J55" s="103">
        <f t="shared" si="0"/>
        <v>0</v>
      </c>
    </row>
    <row r="56" spans="1:10" ht="13.5" customHeight="1" x14ac:dyDescent="0.25">
      <c r="A56" s="135" t="s">
        <v>134</v>
      </c>
      <c r="B56" s="140" t="s">
        <v>135</v>
      </c>
      <c r="C56" s="137"/>
      <c r="D56" s="156"/>
      <c r="E56" s="157"/>
      <c r="F56" s="158"/>
      <c r="G56" s="158"/>
      <c r="H56" s="158"/>
      <c r="I56" s="153"/>
      <c r="J56" s="103">
        <f t="shared" si="0"/>
        <v>0</v>
      </c>
    </row>
    <row r="57" spans="1:10" s="105" customFormat="1" ht="13.5" customHeight="1" x14ac:dyDescent="0.25">
      <c r="A57" s="135" t="s">
        <v>136</v>
      </c>
      <c r="B57" s="140" t="s">
        <v>67</v>
      </c>
      <c r="C57" s="137"/>
      <c r="D57" s="156"/>
      <c r="E57" s="157"/>
      <c r="F57" s="158"/>
      <c r="G57" s="158"/>
      <c r="H57" s="158"/>
      <c r="I57" s="153"/>
      <c r="J57" s="103">
        <f t="shared" si="0"/>
        <v>0</v>
      </c>
    </row>
    <row r="58" spans="1:10" ht="13.5" customHeight="1" x14ac:dyDescent="0.25">
      <c r="A58" s="138" t="s">
        <v>137</v>
      </c>
      <c r="B58" s="139" t="s">
        <v>138</v>
      </c>
      <c r="C58" s="137" t="s">
        <v>3</v>
      </c>
      <c r="D58" s="156">
        <v>50.74</v>
      </c>
      <c r="E58" s="157">
        <v>3.82</v>
      </c>
      <c r="F58" s="158">
        <f t="shared" si="1"/>
        <v>193.82679999999999</v>
      </c>
      <c r="G58" s="158">
        <f>+F58</f>
        <v>193.82679999999999</v>
      </c>
      <c r="H58" s="158"/>
      <c r="I58" s="153">
        <f t="shared" si="2"/>
        <v>193.82679999999999</v>
      </c>
      <c r="J58" s="103">
        <f t="shared" si="0"/>
        <v>0</v>
      </c>
    </row>
    <row r="59" spans="1:10" ht="13.5" customHeight="1" x14ac:dyDescent="0.25">
      <c r="A59" s="185" t="s">
        <v>139</v>
      </c>
      <c r="B59" s="186" t="s">
        <v>140</v>
      </c>
      <c r="C59" s="187" t="s">
        <v>3</v>
      </c>
      <c r="D59" s="188">
        <v>50.74</v>
      </c>
      <c r="E59" s="189">
        <v>2.1</v>
      </c>
      <c r="F59" s="182">
        <f t="shared" si="1"/>
        <v>106.554</v>
      </c>
      <c r="G59" s="182">
        <f>+F59</f>
        <v>106.554</v>
      </c>
      <c r="H59" s="182"/>
      <c r="I59" s="184">
        <f t="shared" si="2"/>
        <v>106.554</v>
      </c>
      <c r="J59" s="103">
        <f t="shared" si="0"/>
        <v>0</v>
      </c>
    </row>
    <row r="60" spans="1:10" s="105" customFormat="1" ht="13.5" customHeight="1" x14ac:dyDescent="0.25">
      <c r="A60" s="174" t="s">
        <v>141</v>
      </c>
      <c r="B60" s="175" t="s">
        <v>71</v>
      </c>
      <c r="C60" s="141"/>
      <c r="D60" s="159"/>
      <c r="E60" s="160"/>
      <c r="F60" s="161"/>
      <c r="G60" s="161"/>
      <c r="H60" s="161"/>
      <c r="I60" s="176"/>
      <c r="J60" s="103">
        <f t="shared" si="0"/>
        <v>0</v>
      </c>
    </row>
    <row r="61" spans="1:10" ht="13.5" customHeight="1" x14ac:dyDescent="0.25">
      <c r="A61" s="138" t="s">
        <v>142</v>
      </c>
      <c r="B61" s="139" t="s">
        <v>143</v>
      </c>
      <c r="C61" s="137" t="s">
        <v>8</v>
      </c>
      <c r="D61" s="156">
        <v>10.15</v>
      </c>
      <c r="E61" s="157">
        <v>3.06</v>
      </c>
      <c r="F61" s="158">
        <f t="shared" si="1"/>
        <v>31.059000000000001</v>
      </c>
      <c r="G61" s="158">
        <f>+F61</f>
        <v>31.059000000000001</v>
      </c>
      <c r="H61" s="158"/>
      <c r="I61" s="153">
        <f t="shared" si="2"/>
        <v>31.059000000000001</v>
      </c>
      <c r="J61" s="103">
        <f t="shared" si="0"/>
        <v>0</v>
      </c>
    </row>
    <row r="62" spans="1:10" ht="13.5" customHeight="1" x14ac:dyDescent="0.25">
      <c r="A62" s="138" t="s">
        <v>144</v>
      </c>
      <c r="B62" s="139" t="s">
        <v>79</v>
      </c>
      <c r="C62" s="137" t="s">
        <v>8</v>
      </c>
      <c r="D62" s="156">
        <v>12.18</v>
      </c>
      <c r="E62" s="157">
        <v>15.34</v>
      </c>
      <c r="F62" s="158">
        <f t="shared" si="1"/>
        <v>186.84119999999999</v>
      </c>
      <c r="G62" s="158">
        <f>+F62</f>
        <v>186.84119999999999</v>
      </c>
      <c r="H62" s="158"/>
      <c r="I62" s="153">
        <f t="shared" si="2"/>
        <v>186.84119999999999</v>
      </c>
      <c r="J62" s="103">
        <f t="shared" si="0"/>
        <v>0</v>
      </c>
    </row>
    <row r="63" spans="1:10" s="105" customFormat="1" ht="13.5" customHeight="1" x14ac:dyDescent="0.25">
      <c r="A63" s="135" t="s">
        <v>145</v>
      </c>
      <c r="B63" s="140" t="s">
        <v>146</v>
      </c>
      <c r="C63" s="137"/>
      <c r="D63" s="156"/>
      <c r="E63" s="157"/>
      <c r="F63" s="158"/>
      <c r="G63" s="158"/>
      <c r="H63" s="158"/>
      <c r="I63" s="153"/>
      <c r="J63" s="103">
        <f t="shared" si="0"/>
        <v>0</v>
      </c>
    </row>
    <row r="64" spans="1:10" ht="13.5" customHeight="1" x14ac:dyDescent="0.25">
      <c r="A64" s="138" t="s">
        <v>147</v>
      </c>
      <c r="B64" s="139" t="s">
        <v>148</v>
      </c>
      <c r="C64" s="137" t="s">
        <v>3</v>
      </c>
      <c r="D64" s="156">
        <v>50.74</v>
      </c>
      <c r="E64" s="157">
        <v>10.67</v>
      </c>
      <c r="F64" s="158">
        <f t="shared" si="1"/>
        <v>541.39580000000001</v>
      </c>
      <c r="G64" s="158"/>
      <c r="H64" s="158">
        <f t="shared" ref="H64:H66" si="4">+F64</f>
        <v>541.39580000000001</v>
      </c>
      <c r="I64" s="153">
        <f t="shared" si="2"/>
        <v>541.39580000000001</v>
      </c>
      <c r="J64" s="103">
        <f t="shared" si="0"/>
        <v>0</v>
      </c>
    </row>
    <row r="65" spans="1:10" ht="13.5" customHeight="1" x14ac:dyDescent="0.25">
      <c r="A65" s="138" t="s">
        <v>149</v>
      </c>
      <c r="B65" s="139" t="s">
        <v>150</v>
      </c>
      <c r="C65" s="137" t="s">
        <v>3</v>
      </c>
      <c r="D65" s="156">
        <v>50.74</v>
      </c>
      <c r="E65" s="157">
        <v>63.27</v>
      </c>
      <c r="F65" s="158">
        <f t="shared" si="1"/>
        <v>3210.3198000000002</v>
      </c>
      <c r="G65" s="158"/>
      <c r="H65" s="158">
        <f t="shared" si="4"/>
        <v>3210.3198000000002</v>
      </c>
      <c r="I65" s="153">
        <f t="shared" si="2"/>
        <v>3210.3198000000002</v>
      </c>
      <c r="J65" s="103">
        <f t="shared" si="0"/>
        <v>0</v>
      </c>
    </row>
    <row r="66" spans="1:10" ht="13.5" customHeight="1" x14ac:dyDescent="0.25">
      <c r="A66" s="138" t="s">
        <v>151</v>
      </c>
      <c r="B66" s="139" t="s">
        <v>152</v>
      </c>
      <c r="C66" s="137" t="s">
        <v>3</v>
      </c>
      <c r="D66" s="156">
        <v>50.74</v>
      </c>
      <c r="E66" s="157">
        <v>4.5599999999999996</v>
      </c>
      <c r="F66" s="158">
        <f t="shared" si="1"/>
        <v>231.37439999999998</v>
      </c>
      <c r="G66" s="158"/>
      <c r="H66" s="158">
        <f t="shared" si="4"/>
        <v>231.37439999999998</v>
      </c>
      <c r="I66" s="153">
        <f t="shared" si="2"/>
        <v>231.37439999999998</v>
      </c>
      <c r="J66" s="103">
        <f t="shared" si="0"/>
        <v>0</v>
      </c>
    </row>
    <row r="67" spans="1:10" ht="13.5" customHeight="1" x14ac:dyDescent="0.25">
      <c r="A67" s="135" t="s">
        <v>153</v>
      </c>
      <c r="B67" s="140" t="s">
        <v>47</v>
      </c>
      <c r="C67" s="137"/>
      <c r="D67" s="156"/>
      <c r="E67" s="157"/>
      <c r="F67" s="158"/>
      <c r="G67" s="158"/>
      <c r="H67" s="158"/>
      <c r="I67" s="153"/>
      <c r="J67" s="103">
        <f t="shared" si="0"/>
        <v>0</v>
      </c>
    </row>
    <row r="68" spans="1:10" s="105" customFormat="1" ht="13.5" customHeight="1" x14ac:dyDescent="0.25">
      <c r="A68" s="135" t="s">
        <v>154</v>
      </c>
      <c r="B68" s="139" t="s">
        <v>155</v>
      </c>
      <c r="C68" s="137" t="s">
        <v>10</v>
      </c>
      <c r="D68" s="156">
        <v>430.5</v>
      </c>
      <c r="E68" s="157">
        <v>4.88</v>
      </c>
      <c r="F68" s="158">
        <f t="shared" si="1"/>
        <v>2100.84</v>
      </c>
      <c r="G68" s="158"/>
      <c r="H68" s="158">
        <f>+F68</f>
        <v>2100.84</v>
      </c>
      <c r="I68" s="153">
        <f t="shared" si="2"/>
        <v>2100.84</v>
      </c>
      <c r="J68" s="103">
        <f t="shared" si="0"/>
        <v>0</v>
      </c>
    </row>
    <row r="69" spans="1:10" ht="13.5" customHeight="1" x14ac:dyDescent="0.25">
      <c r="A69" s="135" t="s">
        <v>156</v>
      </c>
      <c r="B69" s="140" t="s">
        <v>48</v>
      </c>
      <c r="C69" s="137"/>
      <c r="D69" s="156"/>
      <c r="E69" s="157"/>
      <c r="F69" s="158"/>
      <c r="G69" s="158"/>
      <c r="H69" s="158"/>
      <c r="I69" s="153"/>
      <c r="J69" s="103">
        <f t="shared" si="0"/>
        <v>0</v>
      </c>
    </row>
    <row r="70" spans="1:10" s="105" customFormat="1" ht="13.5" customHeight="1" x14ac:dyDescent="0.25">
      <c r="A70" s="135" t="s">
        <v>157</v>
      </c>
      <c r="B70" s="140" t="s">
        <v>158</v>
      </c>
      <c r="C70" s="137"/>
      <c r="D70" s="156"/>
      <c r="E70" s="157"/>
      <c r="F70" s="158"/>
      <c r="G70" s="158"/>
      <c r="H70" s="158"/>
      <c r="I70" s="153"/>
      <c r="J70" s="103">
        <f t="shared" si="0"/>
        <v>0</v>
      </c>
    </row>
    <row r="71" spans="1:10" ht="13.5" customHeight="1" x14ac:dyDescent="0.25">
      <c r="A71" s="138" t="s">
        <v>159</v>
      </c>
      <c r="B71" s="139" t="s">
        <v>160</v>
      </c>
      <c r="C71" s="137" t="s">
        <v>8</v>
      </c>
      <c r="D71" s="156">
        <v>3</v>
      </c>
      <c r="E71" s="157">
        <v>208.89</v>
      </c>
      <c r="F71" s="158">
        <f t="shared" si="1"/>
        <v>626.66999999999996</v>
      </c>
      <c r="G71" s="158"/>
      <c r="H71" s="158">
        <f t="shared" ref="H71:H76" si="5">+F71</f>
        <v>626.66999999999996</v>
      </c>
      <c r="I71" s="153">
        <f t="shared" si="2"/>
        <v>626.66999999999996</v>
      </c>
      <c r="J71" s="103">
        <f t="shared" si="0"/>
        <v>0</v>
      </c>
    </row>
    <row r="72" spans="1:10" ht="13.5" customHeight="1" x14ac:dyDescent="0.25">
      <c r="A72" s="138" t="s">
        <v>161</v>
      </c>
      <c r="B72" s="139" t="s">
        <v>162</v>
      </c>
      <c r="C72" s="137" t="s">
        <v>3</v>
      </c>
      <c r="D72" s="156">
        <v>47.57</v>
      </c>
      <c r="E72" s="157">
        <v>46.83</v>
      </c>
      <c r="F72" s="158">
        <f t="shared" si="1"/>
        <v>2227.7030999999997</v>
      </c>
      <c r="G72" s="158"/>
      <c r="H72" s="158">
        <f t="shared" si="5"/>
        <v>2227.7030999999997</v>
      </c>
      <c r="I72" s="153">
        <f t="shared" si="2"/>
        <v>2227.7030999999997</v>
      </c>
      <c r="J72" s="103">
        <f t="shared" si="0"/>
        <v>0</v>
      </c>
    </row>
    <row r="73" spans="1:10" ht="13.5" customHeight="1" x14ac:dyDescent="0.25">
      <c r="A73" s="138" t="s">
        <v>163</v>
      </c>
      <c r="B73" s="139" t="s">
        <v>164</v>
      </c>
      <c r="C73" s="137" t="s">
        <v>8</v>
      </c>
      <c r="D73" s="156">
        <v>6.33</v>
      </c>
      <c r="E73" s="157">
        <v>358.82</v>
      </c>
      <c r="F73" s="158">
        <f t="shared" si="1"/>
        <v>2271.3305999999998</v>
      </c>
      <c r="G73" s="158"/>
      <c r="H73" s="158">
        <f t="shared" si="5"/>
        <v>2271.3305999999998</v>
      </c>
      <c r="I73" s="153">
        <f t="shared" si="2"/>
        <v>2271.3305999999998</v>
      </c>
      <c r="J73" s="103">
        <f t="shared" si="0"/>
        <v>0</v>
      </c>
    </row>
    <row r="74" spans="1:10" ht="13.5" customHeight="1" x14ac:dyDescent="0.25">
      <c r="A74" s="138" t="s">
        <v>165</v>
      </c>
      <c r="B74" s="139" t="s">
        <v>166</v>
      </c>
      <c r="C74" s="137" t="s">
        <v>130</v>
      </c>
      <c r="D74" s="156">
        <v>178.75</v>
      </c>
      <c r="E74" s="157">
        <v>4.75</v>
      </c>
      <c r="F74" s="158">
        <f t="shared" si="1"/>
        <v>849.0625</v>
      </c>
      <c r="G74" s="158"/>
      <c r="H74" s="158">
        <f t="shared" si="5"/>
        <v>849.0625</v>
      </c>
      <c r="I74" s="153">
        <f t="shared" si="2"/>
        <v>849.0625</v>
      </c>
      <c r="J74" s="103">
        <f t="shared" ref="J74:J76" si="6">+F74-I74</f>
        <v>0</v>
      </c>
    </row>
    <row r="75" spans="1:10" ht="13.5" customHeight="1" x14ac:dyDescent="0.25">
      <c r="A75" s="138" t="s">
        <v>167</v>
      </c>
      <c r="B75" s="139" t="s">
        <v>168</v>
      </c>
      <c r="C75" s="137" t="s">
        <v>3</v>
      </c>
      <c r="D75" s="156">
        <v>65.66</v>
      </c>
      <c r="E75" s="157">
        <v>37.69</v>
      </c>
      <c r="F75" s="158">
        <f t="shared" ref="F75:F76" si="7">+D75*E75</f>
        <v>2474.7253999999998</v>
      </c>
      <c r="G75" s="158"/>
      <c r="H75" s="158">
        <f t="shared" si="5"/>
        <v>2474.7253999999998</v>
      </c>
      <c r="I75" s="153">
        <f t="shared" ref="I75:I76" si="8">SUM(G75:H75)</f>
        <v>2474.7253999999998</v>
      </c>
      <c r="J75" s="103">
        <f t="shared" si="6"/>
        <v>0</v>
      </c>
    </row>
    <row r="76" spans="1:10" ht="13.5" customHeight="1" thickBot="1" x14ac:dyDescent="0.3">
      <c r="A76" s="143" t="s">
        <v>169</v>
      </c>
      <c r="B76" s="144" t="s">
        <v>170</v>
      </c>
      <c r="C76" s="145" t="s">
        <v>3</v>
      </c>
      <c r="D76" s="162">
        <v>73.400000000000006</v>
      </c>
      <c r="E76" s="163">
        <v>11.79</v>
      </c>
      <c r="F76" s="164">
        <f t="shared" si="7"/>
        <v>865.38599999999997</v>
      </c>
      <c r="G76" s="164"/>
      <c r="H76" s="164">
        <f t="shared" si="5"/>
        <v>865.38599999999997</v>
      </c>
      <c r="I76" s="165">
        <f t="shared" si="8"/>
        <v>865.38599999999997</v>
      </c>
      <c r="J76" s="103">
        <f t="shared" si="6"/>
        <v>0</v>
      </c>
    </row>
    <row r="77" spans="1:10" ht="15" customHeight="1" thickBot="1" x14ac:dyDescent="0.3">
      <c r="A77" s="146"/>
      <c r="B77" s="147"/>
      <c r="C77" s="147"/>
      <c r="D77" s="147"/>
      <c r="E77" s="147"/>
      <c r="F77" s="166"/>
      <c r="G77" s="167" t="s">
        <v>50</v>
      </c>
      <c r="H77" s="168" t="s">
        <v>50</v>
      </c>
      <c r="I77" s="169" t="s">
        <v>7</v>
      </c>
    </row>
    <row r="78" spans="1:10" ht="15" customHeight="1" thickBot="1" x14ac:dyDescent="0.3">
      <c r="A78" s="148" t="s">
        <v>9</v>
      </c>
      <c r="B78" s="149"/>
      <c r="C78" s="149"/>
      <c r="D78" s="149"/>
      <c r="E78" s="149"/>
      <c r="F78" s="170"/>
      <c r="G78" s="171">
        <f>SUM(G10:G76)+0.02</f>
        <v>22016.420279999998</v>
      </c>
      <c r="H78" s="172">
        <f>SUM(H10:H76)</f>
        <v>62296.496519999979</v>
      </c>
      <c r="I78" s="173">
        <f>SUM(I10:I76)+0.02</f>
        <v>84312.916799999977</v>
      </c>
      <c r="J78" s="6"/>
    </row>
    <row r="79" spans="1:10" ht="15" customHeight="1" thickBot="1" x14ac:dyDescent="0.3">
      <c r="A79" s="150" t="s">
        <v>175</v>
      </c>
      <c r="B79" s="149"/>
      <c r="C79" s="149"/>
      <c r="D79" s="149"/>
      <c r="E79" s="149"/>
      <c r="F79" s="170"/>
      <c r="G79" s="211">
        <f>+G78*0.1</f>
        <v>2201.6420279999998</v>
      </c>
      <c r="H79" s="211">
        <f>+H78*0.1</f>
        <v>6229.6496519999982</v>
      </c>
      <c r="I79" s="211">
        <f>+I78*0.1</f>
        <v>8431.2916799999985</v>
      </c>
      <c r="J79" s="6"/>
    </row>
    <row r="80" spans="1:10" ht="15" customHeight="1" thickBot="1" x14ac:dyDescent="0.3">
      <c r="A80" s="150" t="s">
        <v>176</v>
      </c>
      <c r="B80" s="149"/>
      <c r="C80" s="149"/>
      <c r="D80" s="149"/>
      <c r="E80" s="149"/>
      <c r="F80" s="170"/>
      <c r="G80" s="211">
        <f>+G78*0.05</f>
        <v>1100.8210139999999</v>
      </c>
      <c r="H80" s="211">
        <f>+H78*0.05</f>
        <v>3114.8248259999991</v>
      </c>
      <c r="I80" s="211">
        <f>+I78*0.05</f>
        <v>4215.6458399999992</v>
      </c>
      <c r="J80" s="6"/>
    </row>
    <row r="81" spans="1:10" ht="15" customHeight="1" thickBot="1" x14ac:dyDescent="0.3">
      <c r="A81" s="148" t="s">
        <v>177</v>
      </c>
      <c r="B81" s="149"/>
      <c r="C81" s="149"/>
      <c r="D81" s="149"/>
      <c r="E81" s="149"/>
      <c r="F81" s="170"/>
      <c r="G81" s="171">
        <f>+G78+G79+G80+0.01</f>
        <v>25318.893321999996</v>
      </c>
      <c r="H81" s="171">
        <f>+H78+H79+H80</f>
        <v>71640.970997999975</v>
      </c>
      <c r="I81" s="171">
        <f>+I78+I79+I80+0.01</f>
        <v>96959.864319999964</v>
      </c>
      <c r="J81" s="6"/>
    </row>
    <row r="82" spans="1:10" ht="15" customHeight="1" thickBot="1" x14ac:dyDescent="0.3">
      <c r="A82" s="150" t="s">
        <v>178</v>
      </c>
      <c r="B82" s="149"/>
      <c r="C82" s="149"/>
      <c r="D82" s="149"/>
      <c r="E82" s="149"/>
      <c r="F82" s="170"/>
      <c r="G82" s="211">
        <f>+G81*0.18-0.01</f>
        <v>4557.390797959999</v>
      </c>
      <c r="H82" s="211">
        <f>+H81*0.18</f>
        <v>12895.374779639995</v>
      </c>
      <c r="I82" s="211">
        <f>+I81*0.18-0.01</f>
        <v>17452.765577599996</v>
      </c>
      <c r="J82" s="6"/>
    </row>
    <row r="83" spans="1:10" ht="15" customHeight="1" thickBot="1" x14ac:dyDescent="0.3">
      <c r="A83" s="150" t="s">
        <v>179</v>
      </c>
      <c r="B83" s="149"/>
      <c r="C83" s="149"/>
      <c r="D83" s="149"/>
      <c r="E83" s="149"/>
      <c r="F83" s="170"/>
      <c r="G83" s="211">
        <f>+G78*0.05</f>
        <v>1100.8210139999999</v>
      </c>
      <c r="H83" s="211">
        <f t="shared" ref="H83:I83" si="9">+H78*0.05</f>
        <v>3114.8248259999991</v>
      </c>
      <c r="I83" s="211">
        <f t="shared" si="9"/>
        <v>4215.6458399999992</v>
      </c>
      <c r="J83" s="6"/>
    </row>
    <row r="84" spans="1:10" ht="15" customHeight="1" thickBot="1" x14ac:dyDescent="0.3">
      <c r="A84" s="148" t="s">
        <v>13</v>
      </c>
      <c r="B84" s="149"/>
      <c r="C84" s="149"/>
      <c r="D84" s="149"/>
      <c r="E84" s="149"/>
      <c r="F84" s="170"/>
      <c r="G84" s="171">
        <f>+G81+G82+G83</f>
        <v>30977.105133959994</v>
      </c>
      <c r="H84" s="171">
        <f>+H81+H82+H83</f>
        <v>87651.17060363997</v>
      </c>
      <c r="I84" s="171">
        <f>+I81+I82+I83</f>
        <v>118628.27573759995</v>
      </c>
      <c r="J84" s="6"/>
    </row>
    <row r="85" spans="1:10" hidden="1" x14ac:dyDescent="0.25">
      <c r="J85" s="6"/>
    </row>
    <row r="86" spans="1:10" hidden="1" x14ac:dyDescent="0.25">
      <c r="D86" s="37">
        <f>10302+17550+2420+312.5+50+150+70+150</f>
        <v>31004.5</v>
      </c>
    </row>
    <row r="87" spans="1:10" hidden="1" x14ac:dyDescent="0.25">
      <c r="A87" s="1"/>
      <c r="D87" s="37">
        <f>37000+D86</f>
        <v>68004.5</v>
      </c>
      <c r="I87" s="36"/>
    </row>
    <row r="88" spans="1:10" hidden="1" x14ac:dyDescent="0.25">
      <c r="A88" s="1"/>
      <c r="I88" s="36"/>
    </row>
    <row r="89" spans="1:10" x14ac:dyDescent="0.25">
      <c r="A89" s="1"/>
      <c r="I89" s="36"/>
    </row>
  </sheetData>
  <mergeCells count="8">
    <mergeCell ref="A1:I1"/>
    <mergeCell ref="I7:I8"/>
    <mergeCell ref="C7:C8"/>
    <mergeCell ref="E7:F7"/>
    <mergeCell ref="G7:G8"/>
    <mergeCell ref="H7:H8"/>
    <mergeCell ref="D7:D8"/>
    <mergeCell ref="B2:I2"/>
  </mergeCells>
  <printOptions horizontalCentered="1"/>
  <pageMargins left="0.39370078740157483" right="0.39370078740157483" top="0.78740157480314965" bottom="0.59055118110236227" header="0.86614173228346458" footer="0"/>
  <pageSetup paperSize="9" orientation="landscape" horizontalDpi="4294967295" verticalDpi="300" r:id="rId1"/>
  <headerFooter alignWithMargins="0"/>
  <rowBreaks count="2" manualBreakCount="2">
    <brk id="34" max="8" man="1"/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topLeftCell="A10" zoomScale="98" zoomScaleNormal="100" zoomScaleSheetLayoutView="98" workbookViewId="0">
      <selection activeCell="D27" sqref="D27"/>
    </sheetView>
  </sheetViews>
  <sheetFormatPr baseColWidth="10" defaultRowHeight="12.6" x14ac:dyDescent="0.25"/>
  <cols>
    <col min="1" max="1" width="11.88671875" customWidth="1"/>
    <col min="2" max="2" width="34.5546875" customWidth="1"/>
    <col min="3" max="3" width="8.44140625" customWidth="1"/>
    <col min="4" max="4" width="11.44140625" customWidth="1"/>
    <col min="5" max="5" width="13.6640625" customWidth="1"/>
    <col min="6" max="6" width="12.6640625" customWidth="1"/>
    <col min="7" max="7" width="12.5546875" customWidth="1"/>
    <col min="8" max="8" width="0.33203125" customWidth="1"/>
    <col min="9" max="9" width="12.109375" style="29" hidden="1" customWidth="1"/>
    <col min="10" max="12" width="11.44140625" style="29" customWidth="1"/>
    <col min="13" max="13" width="11.44140625" customWidth="1"/>
    <col min="256" max="256" width="4.88671875" bestFit="1" customWidth="1"/>
    <col min="257" max="257" width="40.44140625" customWidth="1"/>
    <col min="258" max="258" width="8.44140625" customWidth="1"/>
    <col min="259" max="259" width="14.6640625" customWidth="1"/>
    <col min="260" max="260" width="15.88671875" customWidth="1"/>
    <col min="261" max="261" width="15.5546875" customWidth="1"/>
    <col min="262" max="263" width="16.33203125" customWidth="1"/>
    <col min="264" max="265" width="12" bestFit="1" customWidth="1"/>
    <col min="512" max="512" width="4.88671875" bestFit="1" customWidth="1"/>
    <col min="513" max="513" width="40.44140625" customWidth="1"/>
    <col min="514" max="514" width="8.44140625" customWidth="1"/>
    <col min="515" max="515" width="14.6640625" customWidth="1"/>
    <col min="516" max="516" width="15.88671875" customWidth="1"/>
    <col min="517" max="517" width="15.5546875" customWidth="1"/>
    <col min="518" max="519" width="16.33203125" customWidth="1"/>
    <col min="520" max="521" width="12" bestFit="1" customWidth="1"/>
    <col min="768" max="768" width="4.88671875" bestFit="1" customWidth="1"/>
    <col min="769" max="769" width="40.44140625" customWidth="1"/>
    <col min="770" max="770" width="8.44140625" customWidth="1"/>
    <col min="771" max="771" width="14.6640625" customWidth="1"/>
    <col min="772" max="772" width="15.88671875" customWidth="1"/>
    <col min="773" max="773" width="15.5546875" customWidth="1"/>
    <col min="774" max="775" width="16.33203125" customWidth="1"/>
    <col min="776" max="777" width="12" bestFit="1" customWidth="1"/>
    <col min="1024" max="1024" width="4.88671875" bestFit="1" customWidth="1"/>
    <col min="1025" max="1025" width="40.44140625" customWidth="1"/>
    <col min="1026" max="1026" width="8.44140625" customWidth="1"/>
    <col min="1027" max="1027" width="14.6640625" customWidth="1"/>
    <col min="1028" max="1028" width="15.88671875" customWidth="1"/>
    <col min="1029" max="1029" width="15.5546875" customWidth="1"/>
    <col min="1030" max="1031" width="16.33203125" customWidth="1"/>
    <col min="1032" max="1033" width="12" bestFit="1" customWidth="1"/>
    <col min="1280" max="1280" width="4.88671875" bestFit="1" customWidth="1"/>
    <col min="1281" max="1281" width="40.44140625" customWidth="1"/>
    <col min="1282" max="1282" width="8.44140625" customWidth="1"/>
    <col min="1283" max="1283" width="14.6640625" customWidth="1"/>
    <col min="1284" max="1284" width="15.88671875" customWidth="1"/>
    <col min="1285" max="1285" width="15.5546875" customWidth="1"/>
    <col min="1286" max="1287" width="16.33203125" customWidth="1"/>
    <col min="1288" max="1289" width="12" bestFit="1" customWidth="1"/>
    <col min="1536" max="1536" width="4.88671875" bestFit="1" customWidth="1"/>
    <col min="1537" max="1537" width="40.44140625" customWidth="1"/>
    <col min="1538" max="1538" width="8.44140625" customWidth="1"/>
    <col min="1539" max="1539" width="14.6640625" customWidth="1"/>
    <col min="1540" max="1540" width="15.88671875" customWidth="1"/>
    <col min="1541" max="1541" width="15.5546875" customWidth="1"/>
    <col min="1542" max="1543" width="16.33203125" customWidth="1"/>
    <col min="1544" max="1545" width="12" bestFit="1" customWidth="1"/>
    <col min="1792" max="1792" width="4.88671875" bestFit="1" customWidth="1"/>
    <col min="1793" max="1793" width="40.44140625" customWidth="1"/>
    <col min="1794" max="1794" width="8.44140625" customWidth="1"/>
    <col min="1795" max="1795" width="14.6640625" customWidth="1"/>
    <col min="1796" max="1796" width="15.88671875" customWidth="1"/>
    <col min="1797" max="1797" width="15.5546875" customWidth="1"/>
    <col min="1798" max="1799" width="16.33203125" customWidth="1"/>
    <col min="1800" max="1801" width="12" bestFit="1" customWidth="1"/>
    <col min="2048" max="2048" width="4.88671875" bestFit="1" customWidth="1"/>
    <col min="2049" max="2049" width="40.44140625" customWidth="1"/>
    <col min="2050" max="2050" width="8.44140625" customWidth="1"/>
    <col min="2051" max="2051" width="14.6640625" customWidth="1"/>
    <col min="2052" max="2052" width="15.88671875" customWidth="1"/>
    <col min="2053" max="2053" width="15.5546875" customWidth="1"/>
    <col min="2054" max="2055" width="16.33203125" customWidth="1"/>
    <col min="2056" max="2057" width="12" bestFit="1" customWidth="1"/>
    <col min="2304" max="2304" width="4.88671875" bestFit="1" customWidth="1"/>
    <col min="2305" max="2305" width="40.44140625" customWidth="1"/>
    <col min="2306" max="2306" width="8.44140625" customWidth="1"/>
    <col min="2307" max="2307" width="14.6640625" customWidth="1"/>
    <col min="2308" max="2308" width="15.88671875" customWidth="1"/>
    <col min="2309" max="2309" width="15.5546875" customWidth="1"/>
    <col min="2310" max="2311" width="16.33203125" customWidth="1"/>
    <col min="2312" max="2313" width="12" bestFit="1" customWidth="1"/>
    <col min="2560" max="2560" width="4.88671875" bestFit="1" customWidth="1"/>
    <col min="2561" max="2561" width="40.44140625" customWidth="1"/>
    <col min="2562" max="2562" width="8.44140625" customWidth="1"/>
    <col min="2563" max="2563" width="14.6640625" customWidth="1"/>
    <col min="2564" max="2564" width="15.88671875" customWidth="1"/>
    <col min="2565" max="2565" width="15.5546875" customWidth="1"/>
    <col min="2566" max="2567" width="16.33203125" customWidth="1"/>
    <col min="2568" max="2569" width="12" bestFit="1" customWidth="1"/>
    <col min="2816" max="2816" width="4.88671875" bestFit="1" customWidth="1"/>
    <col min="2817" max="2817" width="40.44140625" customWidth="1"/>
    <col min="2818" max="2818" width="8.44140625" customWidth="1"/>
    <col min="2819" max="2819" width="14.6640625" customWidth="1"/>
    <col min="2820" max="2820" width="15.88671875" customWidth="1"/>
    <col min="2821" max="2821" width="15.5546875" customWidth="1"/>
    <col min="2822" max="2823" width="16.33203125" customWidth="1"/>
    <col min="2824" max="2825" width="12" bestFit="1" customWidth="1"/>
    <col min="3072" max="3072" width="4.88671875" bestFit="1" customWidth="1"/>
    <col min="3073" max="3073" width="40.44140625" customWidth="1"/>
    <col min="3074" max="3074" width="8.44140625" customWidth="1"/>
    <col min="3075" max="3075" width="14.6640625" customWidth="1"/>
    <col min="3076" max="3076" width="15.88671875" customWidth="1"/>
    <col min="3077" max="3077" width="15.5546875" customWidth="1"/>
    <col min="3078" max="3079" width="16.33203125" customWidth="1"/>
    <col min="3080" max="3081" width="12" bestFit="1" customWidth="1"/>
    <col min="3328" max="3328" width="4.88671875" bestFit="1" customWidth="1"/>
    <col min="3329" max="3329" width="40.44140625" customWidth="1"/>
    <col min="3330" max="3330" width="8.44140625" customWidth="1"/>
    <col min="3331" max="3331" width="14.6640625" customWidth="1"/>
    <col min="3332" max="3332" width="15.88671875" customWidth="1"/>
    <col min="3333" max="3333" width="15.5546875" customWidth="1"/>
    <col min="3334" max="3335" width="16.33203125" customWidth="1"/>
    <col min="3336" max="3337" width="12" bestFit="1" customWidth="1"/>
    <col min="3584" max="3584" width="4.88671875" bestFit="1" customWidth="1"/>
    <col min="3585" max="3585" width="40.44140625" customWidth="1"/>
    <col min="3586" max="3586" width="8.44140625" customWidth="1"/>
    <col min="3587" max="3587" width="14.6640625" customWidth="1"/>
    <col min="3588" max="3588" width="15.88671875" customWidth="1"/>
    <col min="3589" max="3589" width="15.5546875" customWidth="1"/>
    <col min="3590" max="3591" width="16.33203125" customWidth="1"/>
    <col min="3592" max="3593" width="12" bestFit="1" customWidth="1"/>
    <col min="3840" max="3840" width="4.88671875" bestFit="1" customWidth="1"/>
    <col min="3841" max="3841" width="40.44140625" customWidth="1"/>
    <col min="3842" max="3842" width="8.44140625" customWidth="1"/>
    <col min="3843" max="3843" width="14.6640625" customWidth="1"/>
    <col min="3844" max="3844" width="15.88671875" customWidth="1"/>
    <col min="3845" max="3845" width="15.5546875" customWidth="1"/>
    <col min="3846" max="3847" width="16.33203125" customWidth="1"/>
    <col min="3848" max="3849" width="12" bestFit="1" customWidth="1"/>
    <col min="4096" max="4096" width="4.88671875" bestFit="1" customWidth="1"/>
    <col min="4097" max="4097" width="40.44140625" customWidth="1"/>
    <col min="4098" max="4098" width="8.44140625" customWidth="1"/>
    <col min="4099" max="4099" width="14.6640625" customWidth="1"/>
    <col min="4100" max="4100" width="15.88671875" customWidth="1"/>
    <col min="4101" max="4101" width="15.5546875" customWidth="1"/>
    <col min="4102" max="4103" width="16.33203125" customWidth="1"/>
    <col min="4104" max="4105" width="12" bestFit="1" customWidth="1"/>
    <col min="4352" max="4352" width="4.88671875" bestFit="1" customWidth="1"/>
    <col min="4353" max="4353" width="40.44140625" customWidth="1"/>
    <col min="4354" max="4354" width="8.44140625" customWidth="1"/>
    <col min="4355" max="4355" width="14.6640625" customWidth="1"/>
    <col min="4356" max="4356" width="15.88671875" customWidth="1"/>
    <col min="4357" max="4357" width="15.5546875" customWidth="1"/>
    <col min="4358" max="4359" width="16.33203125" customWidth="1"/>
    <col min="4360" max="4361" width="12" bestFit="1" customWidth="1"/>
    <col min="4608" max="4608" width="4.88671875" bestFit="1" customWidth="1"/>
    <col min="4609" max="4609" width="40.44140625" customWidth="1"/>
    <col min="4610" max="4610" width="8.44140625" customWidth="1"/>
    <col min="4611" max="4611" width="14.6640625" customWidth="1"/>
    <col min="4612" max="4612" width="15.88671875" customWidth="1"/>
    <col min="4613" max="4613" width="15.5546875" customWidth="1"/>
    <col min="4614" max="4615" width="16.33203125" customWidth="1"/>
    <col min="4616" max="4617" width="12" bestFit="1" customWidth="1"/>
    <col min="4864" max="4864" width="4.88671875" bestFit="1" customWidth="1"/>
    <col min="4865" max="4865" width="40.44140625" customWidth="1"/>
    <col min="4866" max="4866" width="8.44140625" customWidth="1"/>
    <col min="4867" max="4867" width="14.6640625" customWidth="1"/>
    <col min="4868" max="4868" width="15.88671875" customWidth="1"/>
    <col min="4869" max="4869" width="15.5546875" customWidth="1"/>
    <col min="4870" max="4871" width="16.33203125" customWidth="1"/>
    <col min="4872" max="4873" width="12" bestFit="1" customWidth="1"/>
    <col min="5120" max="5120" width="4.88671875" bestFit="1" customWidth="1"/>
    <col min="5121" max="5121" width="40.44140625" customWidth="1"/>
    <col min="5122" max="5122" width="8.44140625" customWidth="1"/>
    <col min="5123" max="5123" width="14.6640625" customWidth="1"/>
    <col min="5124" max="5124" width="15.88671875" customWidth="1"/>
    <col min="5125" max="5125" width="15.5546875" customWidth="1"/>
    <col min="5126" max="5127" width="16.33203125" customWidth="1"/>
    <col min="5128" max="5129" width="12" bestFit="1" customWidth="1"/>
    <col min="5376" max="5376" width="4.88671875" bestFit="1" customWidth="1"/>
    <col min="5377" max="5377" width="40.44140625" customWidth="1"/>
    <col min="5378" max="5378" width="8.44140625" customWidth="1"/>
    <col min="5379" max="5379" width="14.6640625" customWidth="1"/>
    <col min="5380" max="5380" width="15.88671875" customWidth="1"/>
    <col min="5381" max="5381" width="15.5546875" customWidth="1"/>
    <col min="5382" max="5383" width="16.33203125" customWidth="1"/>
    <col min="5384" max="5385" width="12" bestFit="1" customWidth="1"/>
    <col min="5632" max="5632" width="4.88671875" bestFit="1" customWidth="1"/>
    <col min="5633" max="5633" width="40.44140625" customWidth="1"/>
    <col min="5634" max="5634" width="8.44140625" customWidth="1"/>
    <col min="5635" max="5635" width="14.6640625" customWidth="1"/>
    <col min="5636" max="5636" width="15.88671875" customWidth="1"/>
    <col min="5637" max="5637" width="15.5546875" customWidth="1"/>
    <col min="5638" max="5639" width="16.33203125" customWidth="1"/>
    <col min="5640" max="5641" width="12" bestFit="1" customWidth="1"/>
    <col min="5888" max="5888" width="4.88671875" bestFit="1" customWidth="1"/>
    <col min="5889" max="5889" width="40.44140625" customWidth="1"/>
    <col min="5890" max="5890" width="8.44140625" customWidth="1"/>
    <col min="5891" max="5891" width="14.6640625" customWidth="1"/>
    <col min="5892" max="5892" width="15.88671875" customWidth="1"/>
    <col min="5893" max="5893" width="15.5546875" customWidth="1"/>
    <col min="5894" max="5895" width="16.33203125" customWidth="1"/>
    <col min="5896" max="5897" width="12" bestFit="1" customWidth="1"/>
    <col min="6144" max="6144" width="4.88671875" bestFit="1" customWidth="1"/>
    <col min="6145" max="6145" width="40.44140625" customWidth="1"/>
    <col min="6146" max="6146" width="8.44140625" customWidth="1"/>
    <col min="6147" max="6147" width="14.6640625" customWidth="1"/>
    <col min="6148" max="6148" width="15.88671875" customWidth="1"/>
    <col min="6149" max="6149" width="15.5546875" customWidth="1"/>
    <col min="6150" max="6151" width="16.33203125" customWidth="1"/>
    <col min="6152" max="6153" width="12" bestFit="1" customWidth="1"/>
    <col min="6400" max="6400" width="4.88671875" bestFit="1" customWidth="1"/>
    <col min="6401" max="6401" width="40.44140625" customWidth="1"/>
    <col min="6402" max="6402" width="8.44140625" customWidth="1"/>
    <col min="6403" max="6403" width="14.6640625" customWidth="1"/>
    <col min="6404" max="6404" width="15.88671875" customWidth="1"/>
    <col min="6405" max="6405" width="15.5546875" customWidth="1"/>
    <col min="6406" max="6407" width="16.33203125" customWidth="1"/>
    <col min="6408" max="6409" width="12" bestFit="1" customWidth="1"/>
    <col min="6656" max="6656" width="4.88671875" bestFit="1" customWidth="1"/>
    <col min="6657" max="6657" width="40.44140625" customWidth="1"/>
    <col min="6658" max="6658" width="8.44140625" customWidth="1"/>
    <col min="6659" max="6659" width="14.6640625" customWidth="1"/>
    <col min="6660" max="6660" width="15.88671875" customWidth="1"/>
    <col min="6661" max="6661" width="15.5546875" customWidth="1"/>
    <col min="6662" max="6663" width="16.33203125" customWidth="1"/>
    <col min="6664" max="6665" width="12" bestFit="1" customWidth="1"/>
    <col min="6912" max="6912" width="4.88671875" bestFit="1" customWidth="1"/>
    <col min="6913" max="6913" width="40.44140625" customWidth="1"/>
    <col min="6914" max="6914" width="8.44140625" customWidth="1"/>
    <col min="6915" max="6915" width="14.6640625" customWidth="1"/>
    <col min="6916" max="6916" width="15.88671875" customWidth="1"/>
    <col min="6917" max="6917" width="15.5546875" customWidth="1"/>
    <col min="6918" max="6919" width="16.33203125" customWidth="1"/>
    <col min="6920" max="6921" width="12" bestFit="1" customWidth="1"/>
    <col min="7168" max="7168" width="4.88671875" bestFit="1" customWidth="1"/>
    <col min="7169" max="7169" width="40.44140625" customWidth="1"/>
    <col min="7170" max="7170" width="8.44140625" customWidth="1"/>
    <col min="7171" max="7171" width="14.6640625" customWidth="1"/>
    <col min="7172" max="7172" width="15.88671875" customWidth="1"/>
    <col min="7173" max="7173" width="15.5546875" customWidth="1"/>
    <col min="7174" max="7175" width="16.33203125" customWidth="1"/>
    <col min="7176" max="7177" width="12" bestFit="1" customWidth="1"/>
    <col min="7424" max="7424" width="4.88671875" bestFit="1" customWidth="1"/>
    <col min="7425" max="7425" width="40.44140625" customWidth="1"/>
    <col min="7426" max="7426" width="8.44140625" customWidth="1"/>
    <col min="7427" max="7427" width="14.6640625" customWidth="1"/>
    <col min="7428" max="7428" width="15.88671875" customWidth="1"/>
    <col min="7429" max="7429" width="15.5546875" customWidth="1"/>
    <col min="7430" max="7431" width="16.33203125" customWidth="1"/>
    <col min="7432" max="7433" width="12" bestFit="1" customWidth="1"/>
    <col min="7680" max="7680" width="4.88671875" bestFit="1" customWidth="1"/>
    <col min="7681" max="7681" width="40.44140625" customWidth="1"/>
    <col min="7682" max="7682" width="8.44140625" customWidth="1"/>
    <col min="7683" max="7683" width="14.6640625" customWidth="1"/>
    <col min="7684" max="7684" width="15.88671875" customWidth="1"/>
    <col min="7685" max="7685" width="15.5546875" customWidth="1"/>
    <col min="7686" max="7687" width="16.33203125" customWidth="1"/>
    <col min="7688" max="7689" width="12" bestFit="1" customWidth="1"/>
    <col min="7936" max="7936" width="4.88671875" bestFit="1" customWidth="1"/>
    <col min="7937" max="7937" width="40.44140625" customWidth="1"/>
    <col min="7938" max="7938" width="8.44140625" customWidth="1"/>
    <col min="7939" max="7939" width="14.6640625" customWidth="1"/>
    <col min="7940" max="7940" width="15.88671875" customWidth="1"/>
    <col min="7941" max="7941" width="15.5546875" customWidth="1"/>
    <col min="7942" max="7943" width="16.33203125" customWidth="1"/>
    <col min="7944" max="7945" width="12" bestFit="1" customWidth="1"/>
    <col min="8192" max="8192" width="4.88671875" bestFit="1" customWidth="1"/>
    <col min="8193" max="8193" width="40.44140625" customWidth="1"/>
    <col min="8194" max="8194" width="8.44140625" customWidth="1"/>
    <col min="8195" max="8195" width="14.6640625" customWidth="1"/>
    <col min="8196" max="8196" width="15.88671875" customWidth="1"/>
    <col min="8197" max="8197" width="15.5546875" customWidth="1"/>
    <col min="8198" max="8199" width="16.33203125" customWidth="1"/>
    <col min="8200" max="8201" width="12" bestFit="1" customWidth="1"/>
    <col min="8448" max="8448" width="4.88671875" bestFit="1" customWidth="1"/>
    <col min="8449" max="8449" width="40.44140625" customWidth="1"/>
    <col min="8450" max="8450" width="8.44140625" customWidth="1"/>
    <col min="8451" max="8451" width="14.6640625" customWidth="1"/>
    <col min="8452" max="8452" width="15.88671875" customWidth="1"/>
    <col min="8453" max="8453" width="15.5546875" customWidth="1"/>
    <col min="8454" max="8455" width="16.33203125" customWidth="1"/>
    <col min="8456" max="8457" width="12" bestFit="1" customWidth="1"/>
    <col min="8704" max="8704" width="4.88671875" bestFit="1" customWidth="1"/>
    <col min="8705" max="8705" width="40.44140625" customWidth="1"/>
    <col min="8706" max="8706" width="8.44140625" customWidth="1"/>
    <col min="8707" max="8707" width="14.6640625" customWidth="1"/>
    <col min="8708" max="8708" width="15.88671875" customWidth="1"/>
    <col min="8709" max="8709" width="15.5546875" customWidth="1"/>
    <col min="8710" max="8711" width="16.33203125" customWidth="1"/>
    <col min="8712" max="8713" width="12" bestFit="1" customWidth="1"/>
    <col min="8960" max="8960" width="4.88671875" bestFit="1" customWidth="1"/>
    <col min="8961" max="8961" width="40.44140625" customWidth="1"/>
    <col min="8962" max="8962" width="8.44140625" customWidth="1"/>
    <col min="8963" max="8963" width="14.6640625" customWidth="1"/>
    <col min="8964" max="8964" width="15.88671875" customWidth="1"/>
    <col min="8965" max="8965" width="15.5546875" customWidth="1"/>
    <col min="8966" max="8967" width="16.33203125" customWidth="1"/>
    <col min="8968" max="8969" width="12" bestFit="1" customWidth="1"/>
    <col min="9216" max="9216" width="4.88671875" bestFit="1" customWidth="1"/>
    <col min="9217" max="9217" width="40.44140625" customWidth="1"/>
    <col min="9218" max="9218" width="8.44140625" customWidth="1"/>
    <col min="9219" max="9219" width="14.6640625" customWidth="1"/>
    <col min="9220" max="9220" width="15.88671875" customWidth="1"/>
    <col min="9221" max="9221" width="15.5546875" customWidth="1"/>
    <col min="9222" max="9223" width="16.33203125" customWidth="1"/>
    <col min="9224" max="9225" width="12" bestFit="1" customWidth="1"/>
    <col min="9472" max="9472" width="4.88671875" bestFit="1" customWidth="1"/>
    <col min="9473" max="9473" width="40.44140625" customWidth="1"/>
    <col min="9474" max="9474" width="8.44140625" customWidth="1"/>
    <col min="9475" max="9475" width="14.6640625" customWidth="1"/>
    <col min="9476" max="9476" width="15.88671875" customWidth="1"/>
    <col min="9477" max="9477" width="15.5546875" customWidth="1"/>
    <col min="9478" max="9479" width="16.33203125" customWidth="1"/>
    <col min="9480" max="9481" width="12" bestFit="1" customWidth="1"/>
    <col min="9728" max="9728" width="4.88671875" bestFit="1" customWidth="1"/>
    <col min="9729" max="9729" width="40.44140625" customWidth="1"/>
    <col min="9730" max="9730" width="8.44140625" customWidth="1"/>
    <col min="9731" max="9731" width="14.6640625" customWidth="1"/>
    <col min="9732" max="9732" width="15.88671875" customWidth="1"/>
    <col min="9733" max="9733" width="15.5546875" customWidth="1"/>
    <col min="9734" max="9735" width="16.33203125" customWidth="1"/>
    <col min="9736" max="9737" width="12" bestFit="1" customWidth="1"/>
    <col min="9984" max="9984" width="4.88671875" bestFit="1" customWidth="1"/>
    <col min="9985" max="9985" width="40.44140625" customWidth="1"/>
    <col min="9986" max="9986" width="8.44140625" customWidth="1"/>
    <col min="9987" max="9987" width="14.6640625" customWidth="1"/>
    <col min="9988" max="9988" width="15.88671875" customWidth="1"/>
    <col min="9989" max="9989" width="15.5546875" customWidth="1"/>
    <col min="9990" max="9991" width="16.33203125" customWidth="1"/>
    <col min="9992" max="9993" width="12" bestFit="1" customWidth="1"/>
    <col min="10240" max="10240" width="4.88671875" bestFit="1" customWidth="1"/>
    <col min="10241" max="10241" width="40.44140625" customWidth="1"/>
    <col min="10242" max="10242" width="8.44140625" customWidth="1"/>
    <col min="10243" max="10243" width="14.6640625" customWidth="1"/>
    <col min="10244" max="10244" width="15.88671875" customWidth="1"/>
    <col min="10245" max="10245" width="15.5546875" customWidth="1"/>
    <col min="10246" max="10247" width="16.33203125" customWidth="1"/>
    <col min="10248" max="10249" width="12" bestFit="1" customWidth="1"/>
    <col min="10496" max="10496" width="4.88671875" bestFit="1" customWidth="1"/>
    <col min="10497" max="10497" width="40.44140625" customWidth="1"/>
    <col min="10498" max="10498" width="8.44140625" customWidth="1"/>
    <col min="10499" max="10499" width="14.6640625" customWidth="1"/>
    <col min="10500" max="10500" width="15.88671875" customWidth="1"/>
    <col min="10501" max="10501" width="15.5546875" customWidth="1"/>
    <col min="10502" max="10503" width="16.33203125" customWidth="1"/>
    <col min="10504" max="10505" width="12" bestFit="1" customWidth="1"/>
    <col min="10752" max="10752" width="4.88671875" bestFit="1" customWidth="1"/>
    <col min="10753" max="10753" width="40.44140625" customWidth="1"/>
    <col min="10754" max="10754" width="8.44140625" customWidth="1"/>
    <col min="10755" max="10755" width="14.6640625" customWidth="1"/>
    <col min="10756" max="10756" width="15.88671875" customWidth="1"/>
    <col min="10757" max="10757" width="15.5546875" customWidth="1"/>
    <col min="10758" max="10759" width="16.33203125" customWidth="1"/>
    <col min="10760" max="10761" width="12" bestFit="1" customWidth="1"/>
    <col min="11008" max="11008" width="4.88671875" bestFit="1" customWidth="1"/>
    <col min="11009" max="11009" width="40.44140625" customWidth="1"/>
    <col min="11010" max="11010" width="8.44140625" customWidth="1"/>
    <col min="11011" max="11011" width="14.6640625" customWidth="1"/>
    <col min="11012" max="11012" width="15.88671875" customWidth="1"/>
    <col min="11013" max="11013" width="15.5546875" customWidth="1"/>
    <col min="11014" max="11015" width="16.33203125" customWidth="1"/>
    <col min="11016" max="11017" width="12" bestFit="1" customWidth="1"/>
    <col min="11264" max="11264" width="4.88671875" bestFit="1" customWidth="1"/>
    <col min="11265" max="11265" width="40.44140625" customWidth="1"/>
    <col min="11266" max="11266" width="8.44140625" customWidth="1"/>
    <col min="11267" max="11267" width="14.6640625" customWidth="1"/>
    <col min="11268" max="11268" width="15.88671875" customWidth="1"/>
    <col min="11269" max="11269" width="15.5546875" customWidth="1"/>
    <col min="11270" max="11271" width="16.33203125" customWidth="1"/>
    <col min="11272" max="11273" width="12" bestFit="1" customWidth="1"/>
    <col min="11520" max="11520" width="4.88671875" bestFit="1" customWidth="1"/>
    <col min="11521" max="11521" width="40.44140625" customWidth="1"/>
    <col min="11522" max="11522" width="8.44140625" customWidth="1"/>
    <col min="11523" max="11523" width="14.6640625" customWidth="1"/>
    <col min="11524" max="11524" width="15.88671875" customWidth="1"/>
    <col min="11525" max="11525" width="15.5546875" customWidth="1"/>
    <col min="11526" max="11527" width="16.33203125" customWidth="1"/>
    <col min="11528" max="11529" width="12" bestFit="1" customWidth="1"/>
    <col min="11776" max="11776" width="4.88671875" bestFit="1" customWidth="1"/>
    <col min="11777" max="11777" width="40.44140625" customWidth="1"/>
    <col min="11778" max="11778" width="8.44140625" customWidth="1"/>
    <col min="11779" max="11779" width="14.6640625" customWidth="1"/>
    <col min="11780" max="11780" width="15.88671875" customWidth="1"/>
    <col min="11781" max="11781" width="15.5546875" customWidth="1"/>
    <col min="11782" max="11783" width="16.33203125" customWidth="1"/>
    <col min="11784" max="11785" width="12" bestFit="1" customWidth="1"/>
    <col min="12032" max="12032" width="4.88671875" bestFit="1" customWidth="1"/>
    <col min="12033" max="12033" width="40.44140625" customWidth="1"/>
    <col min="12034" max="12034" width="8.44140625" customWidth="1"/>
    <col min="12035" max="12035" width="14.6640625" customWidth="1"/>
    <col min="12036" max="12036" width="15.88671875" customWidth="1"/>
    <col min="12037" max="12037" width="15.5546875" customWidth="1"/>
    <col min="12038" max="12039" width="16.33203125" customWidth="1"/>
    <col min="12040" max="12041" width="12" bestFit="1" customWidth="1"/>
    <col min="12288" max="12288" width="4.88671875" bestFit="1" customWidth="1"/>
    <col min="12289" max="12289" width="40.44140625" customWidth="1"/>
    <col min="12290" max="12290" width="8.44140625" customWidth="1"/>
    <col min="12291" max="12291" width="14.6640625" customWidth="1"/>
    <col min="12292" max="12292" width="15.88671875" customWidth="1"/>
    <col min="12293" max="12293" width="15.5546875" customWidth="1"/>
    <col min="12294" max="12295" width="16.33203125" customWidth="1"/>
    <col min="12296" max="12297" width="12" bestFit="1" customWidth="1"/>
    <col min="12544" max="12544" width="4.88671875" bestFit="1" customWidth="1"/>
    <col min="12545" max="12545" width="40.44140625" customWidth="1"/>
    <col min="12546" max="12546" width="8.44140625" customWidth="1"/>
    <col min="12547" max="12547" width="14.6640625" customWidth="1"/>
    <col min="12548" max="12548" width="15.88671875" customWidth="1"/>
    <col min="12549" max="12549" width="15.5546875" customWidth="1"/>
    <col min="12550" max="12551" width="16.33203125" customWidth="1"/>
    <col min="12552" max="12553" width="12" bestFit="1" customWidth="1"/>
    <col min="12800" max="12800" width="4.88671875" bestFit="1" customWidth="1"/>
    <col min="12801" max="12801" width="40.44140625" customWidth="1"/>
    <col min="12802" max="12802" width="8.44140625" customWidth="1"/>
    <col min="12803" max="12803" width="14.6640625" customWidth="1"/>
    <col min="12804" max="12804" width="15.88671875" customWidth="1"/>
    <col min="12805" max="12805" width="15.5546875" customWidth="1"/>
    <col min="12806" max="12807" width="16.33203125" customWidth="1"/>
    <col min="12808" max="12809" width="12" bestFit="1" customWidth="1"/>
    <col min="13056" max="13056" width="4.88671875" bestFit="1" customWidth="1"/>
    <col min="13057" max="13057" width="40.44140625" customWidth="1"/>
    <col min="13058" max="13058" width="8.44140625" customWidth="1"/>
    <col min="13059" max="13059" width="14.6640625" customWidth="1"/>
    <col min="13060" max="13060" width="15.88671875" customWidth="1"/>
    <col min="13061" max="13061" width="15.5546875" customWidth="1"/>
    <col min="13062" max="13063" width="16.33203125" customWidth="1"/>
    <col min="13064" max="13065" width="12" bestFit="1" customWidth="1"/>
    <col min="13312" max="13312" width="4.88671875" bestFit="1" customWidth="1"/>
    <col min="13313" max="13313" width="40.44140625" customWidth="1"/>
    <col min="13314" max="13314" width="8.44140625" customWidth="1"/>
    <col min="13315" max="13315" width="14.6640625" customWidth="1"/>
    <col min="13316" max="13316" width="15.88671875" customWidth="1"/>
    <col min="13317" max="13317" width="15.5546875" customWidth="1"/>
    <col min="13318" max="13319" width="16.33203125" customWidth="1"/>
    <col min="13320" max="13321" width="12" bestFit="1" customWidth="1"/>
    <col min="13568" max="13568" width="4.88671875" bestFit="1" customWidth="1"/>
    <col min="13569" max="13569" width="40.44140625" customWidth="1"/>
    <col min="13570" max="13570" width="8.44140625" customWidth="1"/>
    <col min="13571" max="13571" width="14.6640625" customWidth="1"/>
    <col min="13572" max="13572" width="15.88671875" customWidth="1"/>
    <col min="13573" max="13573" width="15.5546875" customWidth="1"/>
    <col min="13574" max="13575" width="16.33203125" customWidth="1"/>
    <col min="13576" max="13577" width="12" bestFit="1" customWidth="1"/>
    <col min="13824" max="13824" width="4.88671875" bestFit="1" customWidth="1"/>
    <col min="13825" max="13825" width="40.44140625" customWidth="1"/>
    <col min="13826" max="13826" width="8.44140625" customWidth="1"/>
    <col min="13827" max="13827" width="14.6640625" customWidth="1"/>
    <col min="13828" max="13828" width="15.88671875" customWidth="1"/>
    <col min="13829" max="13829" width="15.5546875" customWidth="1"/>
    <col min="13830" max="13831" width="16.33203125" customWidth="1"/>
    <col min="13832" max="13833" width="12" bestFit="1" customWidth="1"/>
    <col min="14080" max="14080" width="4.88671875" bestFit="1" customWidth="1"/>
    <col min="14081" max="14081" width="40.44140625" customWidth="1"/>
    <col min="14082" max="14082" width="8.44140625" customWidth="1"/>
    <col min="14083" max="14083" width="14.6640625" customWidth="1"/>
    <col min="14084" max="14084" width="15.88671875" customWidth="1"/>
    <col min="14085" max="14085" width="15.5546875" customWidth="1"/>
    <col min="14086" max="14087" width="16.33203125" customWidth="1"/>
    <col min="14088" max="14089" width="12" bestFit="1" customWidth="1"/>
    <col min="14336" max="14336" width="4.88671875" bestFit="1" customWidth="1"/>
    <col min="14337" max="14337" width="40.44140625" customWidth="1"/>
    <col min="14338" max="14338" width="8.44140625" customWidth="1"/>
    <col min="14339" max="14339" width="14.6640625" customWidth="1"/>
    <col min="14340" max="14340" width="15.88671875" customWidth="1"/>
    <col min="14341" max="14341" width="15.5546875" customWidth="1"/>
    <col min="14342" max="14343" width="16.33203125" customWidth="1"/>
    <col min="14344" max="14345" width="12" bestFit="1" customWidth="1"/>
    <col min="14592" max="14592" width="4.88671875" bestFit="1" customWidth="1"/>
    <col min="14593" max="14593" width="40.44140625" customWidth="1"/>
    <col min="14594" max="14594" width="8.44140625" customWidth="1"/>
    <col min="14595" max="14595" width="14.6640625" customWidth="1"/>
    <col min="14596" max="14596" width="15.88671875" customWidth="1"/>
    <col min="14597" max="14597" width="15.5546875" customWidth="1"/>
    <col min="14598" max="14599" width="16.33203125" customWidth="1"/>
    <col min="14600" max="14601" width="12" bestFit="1" customWidth="1"/>
    <col min="14848" max="14848" width="4.88671875" bestFit="1" customWidth="1"/>
    <col min="14849" max="14849" width="40.44140625" customWidth="1"/>
    <col min="14850" max="14850" width="8.44140625" customWidth="1"/>
    <col min="14851" max="14851" width="14.6640625" customWidth="1"/>
    <col min="14852" max="14852" width="15.88671875" customWidth="1"/>
    <col min="14853" max="14853" width="15.5546875" customWidth="1"/>
    <col min="14854" max="14855" width="16.33203125" customWidth="1"/>
    <col min="14856" max="14857" width="12" bestFit="1" customWidth="1"/>
    <col min="15104" max="15104" width="4.88671875" bestFit="1" customWidth="1"/>
    <col min="15105" max="15105" width="40.44140625" customWidth="1"/>
    <col min="15106" max="15106" width="8.44140625" customWidth="1"/>
    <col min="15107" max="15107" width="14.6640625" customWidth="1"/>
    <col min="15108" max="15108" width="15.88671875" customWidth="1"/>
    <col min="15109" max="15109" width="15.5546875" customWidth="1"/>
    <col min="15110" max="15111" width="16.33203125" customWidth="1"/>
    <col min="15112" max="15113" width="12" bestFit="1" customWidth="1"/>
    <col min="15360" max="15360" width="4.88671875" bestFit="1" customWidth="1"/>
    <col min="15361" max="15361" width="40.44140625" customWidth="1"/>
    <col min="15362" max="15362" width="8.44140625" customWidth="1"/>
    <col min="15363" max="15363" width="14.6640625" customWidth="1"/>
    <col min="15364" max="15364" width="15.88671875" customWidth="1"/>
    <col min="15365" max="15365" width="15.5546875" customWidth="1"/>
    <col min="15366" max="15367" width="16.33203125" customWidth="1"/>
    <col min="15368" max="15369" width="12" bestFit="1" customWidth="1"/>
    <col min="15616" max="15616" width="4.88671875" bestFit="1" customWidth="1"/>
    <col min="15617" max="15617" width="40.44140625" customWidth="1"/>
    <col min="15618" max="15618" width="8.44140625" customWidth="1"/>
    <col min="15619" max="15619" width="14.6640625" customWidth="1"/>
    <col min="15620" max="15620" width="15.88671875" customWidth="1"/>
    <col min="15621" max="15621" width="15.5546875" customWidth="1"/>
    <col min="15622" max="15623" width="16.33203125" customWidth="1"/>
    <col min="15624" max="15625" width="12" bestFit="1" customWidth="1"/>
    <col min="15872" max="15872" width="4.88671875" bestFit="1" customWidth="1"/>
    <col min="15873" max="15873" width="40.44140625" customWidth="1"/>
    <col min="15874" max="15874" width="8.44140625" customWidth="1"/>
    <col min="15875" max="15875" width="14.6640625" customWidth="1"/>
    <col min="15876" max="15876" width="15.88671875" customWidth="1"/>
    <col min="15877" max="15877" width="15.5546875" customWidth="1"/>
    <col min="15878" max="15879" width="16.33203125" customWidth="1"/>
    <col min="15880" max="15881" width="12" bestFit="1" customWidth="1"/>
    <col min="16128" max="16128" width="4.88671875" bestFit="1" customWidth="1"/>
    <col min="16129" max="16129" width="40.44140625" customWidth="1"/>
    <col min="16130" max="16130" width="8.44140625" customWidth="1"/>
    <col min="16131" max="16131" width="14.6640625" customWidth="1"/>
    <col min="16132" max="16132" width="15.88671875" customWidth="1"/>
    <col min="16133" max="16133" width="15.5546875" customWidth="1"/>
    <col min="16134" max="16135" width="16.33203125" customWidth="1"/>
    <col min="16136" max="16137" width="12" bestFit="1" customWidth="1"/>
  </cols>
  <sheetData>
    <row r="1" spans="1:12" s="7" customFormat="1" ht="18" x14ac:dyDescent="0.35">
      <c r="A1" s="198" t="s">
        <v>44</v>
      </c>
      <c r="B1" s="198"/>
      <c r="C1" s="198"/>
      <c r="D1" s="198"/>
      <c r="E1" s="198"/>
      <c r="F1" s="198"/>
      <c r="G1" s="198"/>
      <c r="I1" s="28"/>
      <c r="J1" s="28"/>
      <c r="K1" s="28"/>
      <c r="L1" s="28"/>
    </row>
    <row r="2" spans="1:12" ht="4.5" customHeight="1" thickBot="1" x14ac:dyDescent="0.3"/>
    <row r="3" spans="1:12" ht="32.25" customHeight="1" thickBot="1" x14ac:dyDescent="0.3">
      <c r="A3" s="23" t="s">
        <v>16</v>
      </c>
      <c r="B3" s="199" t="str">
        <f>+'CALENDARIO AVANCE DE OBRA'!B2:I2</f>
        <v>"RENOVACION DE VEREDA; EN EL(LA) EN AVENIDA JOSE OLAYA DISTRITO DE CERRO AZUL, PROVINCIA CAÑETE, DEPARTAMENTO LIMA”</v>
      </c>
      <c r="C3" s="200"/>
      <c r="D3" s="200"/>
      <c r="E3" s="200"/>
      <c r="F3" s="200"/>
      <c r="G3" s="201"/>
    </row>
    <row r="4" spans="1:12" ht="8.25" customHeight="1" x14ac:dyDescent="0.3">
      <c r="A4" s="27"/>
    </row>
    <row r="5" spans="1:12" s="12" customFormat="1" ht="13.2" x14ac:dyDescent="0.2">
      <c r="A5" s="95" t="str">
        <f>+'CALENDARIO AVANCE DE OBRA'!A4</f>
        <v xml:space="preserve">UBICACIÓN      </v>
      </c>
      <c r="B5" s="95" t="str">
        <f>+'CALENDARIO AVANCE DE OBRA'!B4</f>
        <v>: CERRO AZUL - CAÑETE - LIMA</v>
      </c>
      <c r="C5" s="9"/>
      <c r="D5" s="10"/>
      <c r="E5" s="11"/>
      <c r="F5" s="11"/>
      <c r="G5" s="11"/>
      <c r="H5" s="11"/>
      <c r="I5" s="30"/>
      <c r="J5" s="30"/>
      <c r="K5" s="30"/>
      <c r="L5" s="30"/>
    </row>
    <row r="6" spans="1:12" s="12" customFormat="1" ht="13.8" thickBot="1" x14ac:dyDescent="0.25">
      <c r="A6" s="96" t="str">
        <f>+'CALENDARIO AVANCE DE OBRA'!A5</f>
        <v xml:space="preserve">FECHA              </v>
      </c>
      <c r="B6" s="96" t="str">
        <f>+'CALENDARIO AVANCE DE OBRA'!B5</f>
        <v>: OCTUBRE 2019</v>
      </c>
      <c r="C6" s="24"/>
      <c r="D6" s="25"/>
      <c r="E6" s="26"/>
      <c r="F6" s="26"/>
      <c r="G6" s="26"/>
      <c r="H6" s="11"/>
      <c r="I6" s="30"/>
      <c r="J6" s="30"/>
      <c r="K6" s="30"/>
      <c r="L6" s="30"/>
    </row>
    <row r="7" spans="1:12" s="12" customFormat="1" ht="9" customHeight="1" thickTop="1" thickBot="1" x14ac:dyDescent="0.25">
      <c r="A7" s="8"/>
      <c r="B7" s="13"/>
      <c r="C7" s="9"/>
      <c r="D7" s="10"/>
      <c r="E7" s="11"/>
      <c r="F7" s="11"/>
      <c r="G7" s="11"/>
      <c r="H7" s="11"/>
      <c r="I7" s="30"/>
      <c r="J7" s="30"/>
      <c r="K7" s="30"/>
      <c r="L7" s="30"/>
    </row>
    <row r="8" spans="1:12" s="2" customFormat="1" ht="41.25" customHeight="1" x14ac:dyDescent="0.2">
      <c r="A8" s="207" t="s">
        <v>18</v>
      </c>
      <c r="B8" s="205" t="s">
        <v>19</v>
      </c>
      <c r="C8" s="205" t="s">
        <v>20</v>
      </c>
      <c r="D8" s="209" t="s">
        <v>21</v>
      </c>
      <c r="E8" s="97" t="s">
        <v>23</v>
      </c>
      <c r="F8" s="98" t="s">
        <v>24</v>
      </c>
      <c r="G8" s="205" t="s">
        <v>22</v>
      </c>
      <c r="I8" s="31"/>
      <c r="J8" s="31"/>
      <c r="K8" s="31"/>
      <c r="L8" s="31"/>
    </row>
    <row r="9" spans="1:12" s="2" customFormat="1" ht="16.5" customHeight="1" thickBot="1" x14ac:dyDescent="0.35">
      <c r="A9" s="208"/>
      <c r="B9" s="206"/>
      <c r="C9" s="206"/>
      <c r="D9" s="210"/>
      <c r="E9" s="99" t="s">
        <v>42</v>
      </c>
      <c r="F9" s="100" t="s">
        <v>41</v>
      </c>
      <c r="G9" s="206"/>
      <c r="I9" s="31"/>
      <c r="J9" s="31"/>
      <c r="K9" s="31"/>
      <c r="L9" s="31"/>
    </row>
    <row r="10" spans="1:12" s="2" customFormat="1" ht="13.2" x14ac:dyDescent="0.3">
      <c r="A10" s="52">
        <v>1</v>
      </c>
      <c r="B10" s="62" t="s">
        <v>25</v>
      </c>
      <c r="C10" s="41"/>
      <c r="D10" s="77"/>
      <c r="E10" s="60"/>
      <c r="F10" s="15"/>
      <c r="G10" s="41"/>
      <c r="I10" s="102">
        <f>+'CALENDARIO AVANCE DE OBRA'!I78</f>
        <v>84312.916799999977</v>
      </c>
      <c r="J10" s="31"/>
      <c r="K10" s="31"/>
      <c r="L10" s="31"/>
    </row>
    <row r="11" spans="1:12" s="2" customFormat="1" ht="10.5" customHeight="1" x14ac:dyDescent="0.3">
      <c r="A11" s="53"/>
      <c r="B11" s="63"/>
      <c r="C11" s="89"/>
      <c r="D11" s="78"/>
      <c r="E11" s="68"/>
      <c r="F11" s="16"/>
      <c r="G11" s="42"/>
      <c r="I11" s="31"/>
      <c r="J11" s="31"/>
      <c r="K11" s="31"/>
      <c r="L11" s="31"/>
    </row>
    <row r="12" spans="1:12" s="2" customFormat="1" ht="13.2" x14ac:dyDescent="0.3">
      <c r="A12" s="53">
        <v>1.01</v>
      </c>
      <c r="B12" s="63" t="s">
        <v>26</v>
      </c>
      <c r="C12" s="90">
        <v>0.2</v>
      </c>
      <c r="D12" s="79">
        <f>+ROUND(I$10*C12,2)</f>
        <v>16862.580000000002</v>
      </c>
      <c r="E12" s="69"/>
      <c r="F12" s="17"/>
      <c r="G12" s="43">
        <f>+D12</f>
        <v>16862.580000000002</v>
      </c>
      <c r="I12" s="32">
        <f>+I10*0.4</f>
        <v>33725.166719999994</v>
      </c>
      <c r="J12" s="31"/>
      <c r="K12" s="31"/>
      <c r="L12" s="31"/>
    </row>
    <row r="13" spans="1:12" s="2" customFormat="1" ht="13.2" x14ac:dyDescent="0.3">
      <c r="A13" s="53"/>
      <c r="B13" s="63"/>
      <c r="C13" s="91"/>
      <c r="D13" s="79"/>
      <c r="E13" s="69"/>
      <c r="F13" s="17"/>
      <c r="G13" s="43"/>
      <c r="I13" s="31"/>
      <c r="J13" s="31"/>
      <c r="K13" s="31"/>
      <c r="L13" s="31"/>
    </row>
    <row r="14" spans="1:12" s="2" customFormat="1" ht="13.2" x14ac:dyDescent="0.3">
      <c r="A14" s="54">
        <v>2</v>
      </c>
      <c r="B14" s="64" t="s">
        <v>27</v>
      </c>
      <c r="C14" s="65"/>
      <c r="D14" s="80"/>
      <c r="E14" s="70"/>
      <c r="F14" s="18"/>
      <c r="G14" s="44"/>
      <c r="I14" s="32" t="e">
        <f>+I10-#REF!</f>
        <v>#REF!</v>
      </c>
      <c r="J14" s="31"/>
      <c r="K14" s="31"/>
      <c r="L14" s="31"/>
    </row>
    <row r="15" spans="1:12" s="2" customFormat="1" ht="13.2" x14ac:dyDescent="0.3">
      <c r="A15" s="53">
        <v>2.0099999999999998</v>
      </c>
      <c r="B15" s="63" t="s">
        <v>28</v>
      </c>
      <c r="C15" s="89"/>
      <c r="D15" s="79"/>
      <c r="E15" s="69">
        <f>+'CALENDARIO AVANCE DE OBRA'!G78-'CALENDARIO AVANCE DE OBRA'!G78*0.2+0.01</f>
        <v>17613.146223999996</v>
      </c>
      <c r="F15" s="17"/>
      <c r="G15" s="43">
        <f>SUM(E15:F15)</f>
        <v>17613.146223999996</v>
      </c>
      <c r="H15" s="3"/>
      <c r="I15" s="31"/>
      <c r="J15" s="31"/>
      <c r="K15" s="31"/>
      <c r="L15" s="31"/>
    </row>
    <row r="16" spans="1:12" s="2" customFormat="1" ht="13.2" x14ac:dyDescent="0.3">
      <c r="A16" s="53">
        <v>2.0099999999999998</v>
      </c>
      <c r="B16" s="63" t="s">
        <v>29</v>
      </c>
      <c r="C16" s="89"/>
      <c r="D16" s="79"/>
      <c r="E16" s="69"/>
      <c r="F16" s="17">
        <f>+'CALENDARIO AVANCE DE OBRA'!H78-'CALENDARIO AVANCE DE OBRA'!H78*0.2</f>
        <v>49837.197215999986</v>
      </c>
      <c r="G16" s="43">
        <f>SUM(E16:F16)</f>
        <v>49837.197215999986</v>
      </c>
      <c r="I16" s="31"/>
      <c r="J16" s="31"/>
      <c r="K16" s="31"/>
      <c r="L16" s="31"/>
    </row>
    <row r="17" spans="1:12" s="2" customFormat="1" ht="13.2" x14ac:dyDescent="0.3">
      <c r="A17" s="55"/>
      <c r="B17" s="65"/>
      <c r="C17" s="92"/>
      <c r="D17" s="81"/>
      <c r="E17" s="71"/>
      <c r="F17" s="19"/>
      <c r="G17" s="45"/>
      <c r="I17" s="31"/>
      <c r="J17" s="31"/>
      <c r="K17" s="31"/>
      <c r="L17" s="31"/>
    </row>
    <row r="18" spans="1:12" s="2" customFormat="1" ht="13.2" x14ac:dyDescent="0.3">
      <c r="A18" s="53"/>
      <c r="B18" s="41" t="s">
        <v>30</v>
      </c>
      <c r="C18" s="89"/>
      <c r="D18" s="82">
        <f>+C12</f>
        <v>0.2</v>
      </c>
      <c r="E18" s="72">
        <f>+E15/$I$10</f>
        <v>0.2089021100501175</v>
      </c>
      <c r="F18" s="20">
        <f>+F16/$I$10</f>
        <v>0.59109800855567129</v>
      </c>
      <c r="G18" s="46">
        <f>SUM(E18:F18)</f>
        <v>0.80000011860578879</v>
      </c>
      <c r="I18" s="33"/>
      <c r="J18" s="31"/>
      <c r="K18" s="31"/>
      <c r="L18" s="31"/>
    </row>
    <row r="19" spans="1:12" s="2" customFormat="1" ht="13.2" x14ac:dyDescent="0.3">
      <c r="A19" s="53"/>
      <c r="B19" s="41" t="s">
        <v>31</v>
      </c>
      <c r="C19" s="89"/>
      <c r="D19" s="82">
        <f>+D18</f>
        <v>0.2</v>
      </c>
      <c r="E19" s="72">
        <f>+D19+E18</f>
        <v>0.40890211005011751</v>
      </c>
      <c r="F19" s="20">
        <f>+E19+F18</f>
        <v>1.0000001186057887</v>
      </c>
      <c r="G19" s="46">
        <f>+F18+E19</f>
        <v>1.0000001186057887</v>
      </c>
      <c r="I19" s="31"/>
      <c r="J19" s="31"/>
      <c r="K19" s="31"/>
      <c r="L19" s="31"/>
    </row>
    <row r="20" spans="1:12" s="2" customFormat="1" ht="13.2" x14ac:dyDescent="0.3">
      <c r="A20" s="56"/>
      <c r="B20" s="47"/>
      <c r="C20" s="47"/>
      <c r="D20" s="83"/>
      <c r="E20" s="61"/>
      <c r="F20" s="14"/>
      <c r="G20" s="47"/>
      <c r="I20" s="31"/>
      <c r="J20" s="31"/>
      <c r="K20" s="31"/>
      <c r="L20" s="31"/>
    </row>
    <row r="21" spans="1:12" s="2" customFormat="1" ht="13.2" x14ac:dyDescent="0.3">
      <c r="A21" s="57"/>
      <c r="B21" s="65" t="s">
        <v>32</v>
      </c>
      <c r="C21" s="65"/>
      <c r="D21" s="84">
        <f>+ROUND(D12,2)</f>
        <v>16862.580000000002</v>
      </c>
      <c r="E21" s="70">
        <f>+ROUND(E15,2)</f>
        <v>17613.150000000001</v>
      </c>
      <c r="F21" s="18">
        <f>+ROUND(F16,2)</f>
        <v>49837.2</v>
      </c>
      <c r="G21" s="44">
        <f>SUM(G12:G16)-0.01</f>
        <v>84312.913439999989</v>
      </c>
      <c r="H21" s="3"/>
      <c r="I21" s="31"/>
      <c r="J21" s="31"/>
      <c r="K21" s="31"/>
      <c r="L21" s="31"/>
    </row>
    <row r="22" spans="1:12" s="2" customFormat="1" ht="13.2" x14ac:dyDescent="0.3">
      <c r="A22" s="58"/>
      <c r="B22" s="41" t="s">
        <v>33</v>
      </c>
      <c r="C22" s="104">
        <v>0.1</v>
      </c>
      <c r="D22" s="85">
        <f>+D21*$C$22</f>
        <v>1686.2580000000003</v>
      </c>
      <c r="E22" s="73">
        <f>+E21*$C$22</f>
        <v>1761.3150000000003</v>
      </c>
      <c r="F22" s="21">
        <f>+F21*$C$22</f>
        <v>4983.72</v>
      </c>
      <c r="G22" s="48">
        <f>+G21*$C$22</f>
        <v>8431.2913439999993</v>
      </c>
      <c r="H22" s="3"/>
      <c r="I22" s="31"/>
      <c r="J22" s="31"/>
      <c r="K22" s="31"/>
      <c r="L22" s="31"/>
    </row>
    <row r="23" spans="1:12" s="2" customFormat="1" ht="13.2" x14ac:dyDescent="0.3">
      <c r="A23" s="59"/>
      <c r="B23" s="66" t="s">
        <v>34</v>
      </c>
      <c r="C23" s="93">
        <v>0.05</v>
      </c>
      <c r="D23" s="86">
        <f>+ROUND(D21*0.05,2)</f>
        <v>843.13</v>
      </c>
      <c r="E23" s="74">
        <f>+ROUND(E21*0.05,2)</f>
        <v>880.66</v>
      </c>
      <c r="F23" s="22">
        <f>+ROUND(F21*0.05,2)</f>
        <v>2491.86</v>
      </c>
      <c r="G23" s="49">
        <f>+G21*$C$23</f>
        <v>4215.6456719999996</v>
      </c>
      <c r="H23" s="3"/>
      <c r="I23" s="31"/>
      <c r="J23" s="31"/>
      <c r="K23" s="31"/>
      <c r="L23" s="31"/>
    </row>
    <row r="24" spans="1:12" s="2" customFormat="1" ht="13.2" x14ac:dyDescent="0.3">
      <c r="A24" s="58"/>
      <c r="B24" s="41" t="s">
        <v>35</v>
      </c>
      <c r="C24" s="90"/>
      <c r="D24" s="85">
        <f>ROUND(SUM(D21:D23),2)</f>
        <v>19391.97</v>
      </c>
      <c r="E24" s="73">
        <f>ROUND(SUM(E21:E23),2)</f>
        <v>20255.13</v>
      </c>
      <c r="F24" s="21">
        <f>ROUND(SUM(F21:F23),2)</f>
        <v>57312.78</v>
      </c>
      <c r="G24" s="48">
        <f>ROUND(SUM(G21:G23),2)-0.01</f>
        <v>96959.840000000011</v>
      </c>
      <c r="H24" s="3"/>
      <c r="I24" s="31"/>
      <c r="J24" s="31"/>
      <c r="K24" s="31"/>
      <c r="L24" s="31"/>
    </row>
    <row r="25" spans="1:12" s="2" customFormat="1" ht="13.8" thickBot="1" x14ac:dyDescent="0.35">
      <c r="A25" s="39"/>
      <c r="B25" s="67" t="s">
        <v>36</v>
      </c>
      <c r="C25" s="94">
        <v>0.18</v>
      </c>
      <c r="D25" s="87">
        <f>+ROUND(D24*0.18,2)+0.01</f>
        <v>3490.5600000000004</v>
      </c>
      <c r="E25" s="75">
        <f t="shared" ref="E25" si="0">+ROUND(E24*0.18,2)</f>
        <v>3645.92</v>
      </c>
      <c r="F25" s="40">
        <f>+ROUND(F24*0.18,2)</f>
        <v>10316.299999999999</v>
      </c>
      <c r="G25" s="50">
        <f>+ROUND(G24*0.18,2)</f>
        <v>17452.77</v>
      </c>
      <c r="H25" s="3"/>
      <c r="I25" s="31"/>
      <c r="J25" s="31"/>
      <c r="K25" s="31"/>
      <c r="L25" s="31"/>
    </row>
    <row r="26" spans="1:12" s="2" customFormat="1" ht="13.8" thickBot="1" x14ac:dyDescent="0.35">
      <c r="A26" s="202" t="s">
        <v>37</v>
      </c>
      <c r="B26" s="203"/>
      <c r="C26" s="204"/>
      <c r="D26" s="88">
        <f>SUM(D24:D25)</f>
        <v>22882.530000000002</v>
      </c>
      <c r="E26" s="76">
        <f>SUM(E24:E25)</f>
        <v>23901.050000000003</v>
      </c>
      <c r="F26" s="34">
        <f>SUM(F24:F25)</f>
        <v>67629.08</v>
      </c>
      <c r="G26" s="51">
        <f>SUM(G24:G25)</f>
        <v>114412.61000000002</v>
      </c>
      <c r="H26" s="3"/>
      <c r="I26" s="32"/>
      <c r="J26" s="32"/>
      <c r="K26" s="101"/>
      <c r="L26" s="31"/>
    </row>
    <row r="29" spans="1:12" x14ac:dyDescent="0.25">
      <c r="E29" t="s">
        <v>43</v>
      </c>
    </row>
  </sheetData>
  <mergeCells count="8">
    <mergeCell ref="A1:G1"/>
    <mergeCell ref="B3:G3"/>
    <mergeCell ref="A26:C26"/>
    <mergeCell ref="B8:B9"/>
    <mergeCell ref="A8:A9"/>
    <mergeCell ref="G8:G9"/>
    <mergeCell ref="C8:C9"/>
    <mergeCell ref="D8:D9"/>
  </mergeCells>
  <printOptions horizontalCentered="1"/>
  <pageMargins left="0.47244094488188981" right="0.39370078740157483" top="0.70866141732283472" bottom="0.59055118110236227" header="0.31496062992125984" footer="0.31496062992125984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CALENDARIO AVANCE DE OBRA</vt:lpstr>
      <vt:lpstr>CALENDARIO ADQUSICIÓN</vt:lpstr>
      <vt:lpstr>'CALENDARIO ADQUSICIÓN'!Área_de_impresión</vt:lpstr>
      <vt:lpstr>'CALENDARIO AVANCE DE OBRA'!Área_de_impresión</vt:lpstr>
      <vt:lpstr>'CALENDARIO AVANCE DE OBRA'!Títulos_a_imprimir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DEYSI</dc:creator>
  <cp:lastModifiedBy>Sindy</cp:lastModifiedBy>
  <cp:lastPrinted>2019-10-22T14:51:04Z</cp:lastPrinted>
  <dcterms:created xsi:type="dcterms:W3CDTF">2004-08-27T06:22:22Z</dcterms:created>
  <dcterms:modified xsi:type="dcterms:W3CDTF">2019-10-30T05:46:08Z</dcterms:modified>
</cp:coreProperties>
</file>